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юзер\Desktop\браер\"/>
    </mc:Choice>
  </mc:AlternateContent>
  <bookViews>
    <workbookView xWindow="0" yWindow="0" windowWidth="23040" windowHeight="8325"/>
  </bookViews>
  <sheets>
    <sheet name="прайс БРАЕР-2" sheetId="4" r:id="rId1"/>
    <sheet name="Лист1" sheetId="6" state="hidden" r:id="rId2"/>
  </sheets>
  <definedNames>
    <definedName name="_xlnm._FilterDatabase" localSheetId="0" hidden="1">'прайс БРАЕР-2'!$A$7:$T$233</definedName>
  </definedNames>
  <calcPr calcId="162913" refMode="R1C1"/>
</workbook>
</file>

<file path=xl/calcChain.xml><?xml version="1.0" encoding="utf-8"?>
<calcChain xmlns="http://schemas.openxmlformats.org/spreadsheetml/2006/main">
  <c r="R16" i="4" l="1"/>
  <c r="J13" i="6"/>
  <c r="K13" i="6"/>
  <c r="L13" i="6"/>
  <c r="M13" i="6"/>
  <c r="N13" i="6"/>
  <c r="J15" i="6"/>
  <c r="K15" i="6"/>
  <c r="L15" i="6"/>
  <c r="M15" i="6"/>
  <c r="N15" i="6"/>
  <c r="J16" i="6"/>
  <c r="K16" i="6"/>
  <c r="L16" i="6"/>
  <c r="M16" i="6"/>
  <c r="N16" i="6"/>
  <c r="J18" i="6"/>
  <c r="K18" i="6"/>
  <c r="L18" i="6"/>
  <c r="M18" i="6"/>
  <c r="N18" i="6"/>
  <c r="J19" i="6"/>
  <c r="K19" i="6"/>
  <c r="L19" i="6"/>
  <c r="M19" i="6"/>
  <c r="N19" i="6"/>
  <c r="J28" i="6"/>
  <c r="K28" i="6"/>
  <c r="L28" i="6"/>
  <c r="M28" i="6"/>
  <c r="N28" i="6"/>
  <c r="J32" i="6"/>
  <c r="K32" i="6"/>
  <c r="L32" i="6"/>
  <c r="M32" i="6"/>
  <c r="N32" i="6"/>
  <c r="J33" i="6"/>
  <c r="K33" i="6"/>
  <c r="L33" i="6"/>
  <c r="M33" i="6"/>
  <c r="N33" i="6"/>
  <c r="J34" i="6"/>
  <c r="K34" i="6"/>
  <c r="L34" i="6"/>
  <c r="M34" i="6"/>
  <c r="N34" i="6"/>
  <c r="J35" i="6"/>
  <c r="K35" i="6"/>
  <c r="L35" i="6"/>
  <c r="M35" i="6"/>
  <c r="N35" i="6"/>
  <c r="J36" i="6"/>
  <c r="K36" i="6"/>
  <c r="L36" i="6"/>
  <c r="M36" i="6"/>
  <c r="N36" i="6"/>
  <c r="J38" i="6"/>
  <c r="K38" i="6"/>
  <c r="L38" i="6"/>
  <c r="M38" i="6"/>
  <c r="N38" i="6"/>
  <c r="J39" i="6"/>
  <c r="K39" i="6"/>
  <c r="L39" i="6"/>
  <c r="M39" i="6"/>
  <c r="N39" i="6"/>
  <c r="J40" i="6"/>
  <c r="K40" i="6"/>
  <c r="L40" i="6"/>
  <c r="M40" i="6"/>
  <c r="N40" i="6"/>
  <c r="J42" i="6"/>
  <c r="K42" i="6"/>
  <c r="L42" i="6"/>
  <c r="M42" i="6"/>
  <c r="N42" i="6"/>
  <c r="J43" i="6"/>
  <c r="K43" i="6"/>
  <c r="L43" i="6"/>
  <c r="M43" i="6"/>
  <c r="N43" i="6"/>
  <c r="J44" i="6"/>
  <c r="K44" i="6"/>
  <c r="L44" i="6"/>
  <c r="M44" i="6"/>
  <c r="N44" i="6"/>
  <c r="J45" i="6"/>
  <c r="K45" i="6"/>
  <c r="L45" i="6"/>
  <c r="M45" i="6"/>
  <c r="N45" i="6"/>
  <c r="J46" i="6"/>
  <c r="K46" i="6"/>
  <c r="L46" i="6"/>
  <c r="M46" i="6"/>
  <c r="N46" i="6"/>
  <c r="J47" i="6"/>
  <c r="K47" i="6"/>
  <c r="L47" i="6"/>
  <c r="M47" i="6"/>
  <c r="N47" i="6"/>
  <c r="J49" i="6"/>
  <c r="K49" i="6"/>
  <c r="L49" i="6"/>
  <c r="M49" i="6"/>
  <c r="N49" i="6"/>
  <c r="J50" i="6"/>
  <c r="K50" i="6"/>
  <c r="L50" i="6"/>
  <c r="M50" i="6"/>
  <c r="N50" i="6"/>
  <c r="J52" i="6"/>
  <c r="K52" i="6"/>
  <c r="L52" i="6"/>
  <c r="M52" i="6"/>
  <c r="N52" i="6"/>
  <c r="J53" i="6"/>
  <c r="K53" i="6"/>
  <c r="L53" i="6"/>
  <c r="M53" i="6"/>
  <c r="N53" i="6"/>
  <c r="J54" i="6"/>
  <c r="K54" i="6"/>
  <c r="L54" i="6"/>
  <c r="M54" i="6"/>
  <c r="N54" i="6"/>
  <c r="J55" i="6"/>
  <c r="K55" i="6"/>
  <c r="L55" i="6"/>
  <c r="M55" i="6"/>
  <c r="N55" i="6"/>
  <c r="J56" i="6"/>
  <c r="K56" i="6"/>
  <c r="L56" i="6"/>
  <c r="M56" i="6"/>
  <c r="N56" i="6"/>
  <c r="J57" i="6"/>
  <c r="K57" i="6"/>
  <c r="L57" i="6"/>
  <c r="M57" i="6"/>
  <c r="N57" i="6"/>
  <c r="J58" i="6"/>
  <c r="K58" i="6"/>
  <c r="L58" i="6"/>
  <c r="M58" i="6"/>
  <c r="N58" i="6"/>
  <c r="J59" i="6"/>
  <c r="K59" i="6"/>
  <c r="L59" i="6"/>
  <c r="M59" i="6"/>
  <c r="N59" i="6"/>
  <c r="J60" i="6"/>
  <c r="K60" i="6"/>
  <c r="L60" i="6"/>
  <c r="M60" i="6"/>
  <c r="N60" i="6"/>
  <c r="J61" i="6"/>
  <c r="K61" i="6"/>
  <c r="L61" i="6"/>
  <c r="N61" i="6"/>
  <c r="J62" i="6"/>
  <c r="K62" i="6"/>
  <c r="L62" i="6"/>
  <c r="N62" i="6"/>
  <c r="J64" i="6"/>
  <c r="K64" i="6"/>
  <c r="L64" i="6"/>
  <c r="M64" i="6"/>
  <c r="N64" i="6"/>
  <c r="J66" i="6"/>
  <c r="K66" i="6"/>
  <c r="L66" i="6"/>
  <c r="M66" i="6"/>
  <c r="N66" i="6"/>
  <c r="J67" i="6"/>
  <c r="K67" i="6"/>
  <c r="L67" i="6"/>
  <c r="M67" i="6"/>
  <c r="N67" i="6"/>
  <c r="J68" i="6"/>
  <c r="K68" i="6"/>
  <c r="L68" i="6"/>
  <c r="M68" i="6"/>
  <c r="N68" i="6"/>
  <c r="J69" i="6"/>
  <c r="K69" i="6"/>
  <c r="L69" i="6"/>
  <c r="M69" i="6"/>
  <c r="N69" i="6"/>
  <c r="J70" i="6"/>
  <c r="K70" i="6"/>
  <c r="L70" i="6"/>
  <c r="M70" i="6"/>
  <c r="N70" i="6"/>
  <c r="J71" i="6"/>
  <c r="K71" i="6"/>
  <c r="L71" i="6"/>
  <c r="M71" i="6"/>
  <c r="N71" i="6"/>
  <c r="J72" i="6"/>
  <c r="K72" i="6"/>
  <c r="L72" i="6"/>
  <c r="M72" i="6"/>
  <c r="N72" i="6"/>
  <c r="J73" i="6"/>
  <c r="K73" i="6"/>
  <c r="L73" i="6"/>
  <c r="M73" i="6"/>
  <c r="N73" i="6"/>
  <c r="J74" i="6"/>
  <c r="K74" i="6"/>
  <c r="L74" i="6"/>
  <c r="M74" i="6"/>
  <c r="N74" i="6"/>
  <c r="J75" i="6"/>
  <c r="K75" i="6"/>
  <c r="L75" i="6"/>
  <c r="M75" i="6"/>
  <c r="N75" i="6"/>
  <c r="J76" i="6"/>
  <c r="K76" i="6"/>
  <c r="L76" i="6"/>
  <c r="M76" i="6"/>
  <c r="N76" i="6"/>
  <c r="J77" i="6"/>
  <c r="K77" i="6"/>
  <c r="L77" i="6"/>
  <c r="M77" i="6"/>
  <c r="N77" i="6"/>
  <c r="J78" i="6"/>
  <c r="K78" i="6"/>
  <c r="L78" i="6"/>
  <c r="M78" i="6"/>
  <c r="N78" i="6"/>
  <c r="J79" i="6"/>
  <c r="K79" i="6"/>
  <c r="L79" i="6"/>
  <c r="M79" i="6"/>
  <c r="N79" i="6"/>
  <c r="J80" i="6"/>
  <c r="K80" i="6"/>
  <c r="L80" i="6"/>
  <c r="M80" i="6"/>
  <c r="N80" i="6"/>
  <c r="J81" i="6"/>
  <c r="K81" i="6"/>
  <c r="L81" i="6"/>
  <c r="M81" i="6"/>
  <c r="N81" i="6"/>
  <c r="J82" i="6"/>
  <c r="K82" i="6"/>
  <c r="L82" i="6"/>
  <c r="M82" i="6"/>
  <c r="N82" i="6"/>
  <c r="J83" i="6"/>
  <c r="K83" i="6"/>
  <c r="L83" i="6"/>
  <c r="M83" i="6"/>
  <c r="N83" i="6"/>
  <c r="J84" i="6"/>
  <c r="K84" i="6"/>
  <c r="L84" i="6"/>
  <c r="M84" i="6"/>
  <c r="N84" i="6"/>
  <c r="J85" i="6"/>
  <c r="K85" i="6"/>
  <c r="L85" i="6"/>
  <c r="M85" i="6"/>
  <c r="N85" i="6"/>
  <c r="J86" i="6"/>
  <c r="K86" i="6"/>
  <c r="L86" i="6"/>
  <c r="M86" i="6"/>
  <c r="N86" i="6"/>
  <c r="J87" i="6"/>
  <c r="K87" i="6"/>
  <c r="L87" i="6"/>
  <c r="M87" i="6"/>
  <c r="N87" i="6"/>
  <c r="J88" i="6"/>
  <c r="K88" i="6"/>
  <c r="L88" i="6"/>
  <c r="M88" i="6"/>
  <c r="N88" i="6"/>
  <c r="J89" i="6"/>
  <c r="K89" i="6"/>
  <c r="L89" i="6"/>
  <c r="M89" i="6"/>
  <c r="N89" i="6"/>
  <c r="J90" i="6"/>
  <c r="K90" i="6"/>
  <c r="L90" i="6"/>
  <c r="M90" i="6"/>
  <c r="N90" i="6"/>
  <c r="J91" i="6"/>
  <c r="K91" i="6"/>
  <c r="L91" i="6"/>
  <c r="M91" i="6"/>
  <c r="N91" i="6"/>
  <c r="J92" i="6"/>
  <c r="K92" i="6"/>
  <c r="L92" i="6"/>
  <c r="M92" i="6"/>
  <c r="N92" i="6"/>
  <c r="J93" i="6"/>
  <c r="K93" i="6"/>
  <c r="L93" i="6"/>
  <c r="M93" i="6"/>
  <c r="N93" i="6"/>
  <c r="J94" i="6"/>
  <c r="K94" i="6"/>
  <c r="L94" i="6"/>
  <c r="M94" i="6"/>
  <c r="N94" i="6"/>
  <c r="J95" i="6"/>
  <c r="K95" i="6"/>
  <c r="L95" i="6"/>
  <c r="M95" i="6"/>
  <c r="N95" i="6"/>
  <c r="J96" i="6"/>
  <c r="K96" i="6"/>
  <c r="L96" i="6"/>
  <c r="M96" i="6"/>
  <c r="N96" i="6"/>
  <c r="J97" i="6"/>
  <c r="K97" i="6"/>
  <c r="L97" i="6"/>
  <c r="M97" i="6"/>
  <c r="N97" i="6"/>
  <c r="J98" i="6"/>
  <c r="K98" i="6"/>
  <c r="L98" i="6"/>
  <c r="M98" i="6"/>
  <c r="N98" i="6"/>
  <c r="J99" i="6"/>
  <c r="K99" i="6"/>
  <c r="L99" i="6"/>
  <c r="M99" i="6"/>
  <c r="N99" i="6"/>
  <c r="J101" i="6"/>
  <c r="K101" i="6"/>
  <c r="L101" i="6"/>
  <c r="M101" i="6"/>
  <c r="N101" i="6"/>
  <c r="J102" i="6"/>
  <c r="K102" i="6"/>
  <c r="L102" i="6"/>
  <c r="M102" i="6"/>
  <c r="N102" i="6"/>
  <c r="J103" i="6"/>
  <c r="K103" i="6"/>
  <c r="L103" i="6"/>
  <c r="M103" i="6"/>
  <c r="N103" i="6"/>
  <c r="J104" i="6"/>
  <c r="K104" i="6"/>
  <c r="L104" i="6"/>
  <c r="M104" i="6"/>
  <c r="N104" i="6"/>
  <c r="J106" i="6"/>
  <c r="K106" i="6"/>
  <c r="L106" i="6"/>
  <c r="M106" i="6"/>
  <c r="N106" i="6"/>
  <c r="J107" i="6"/>
  <c r="K107" i="6"/>
  <c r="L107" i="6"/>
  <c r="M107" i="6"/>
  <c r="N107" i="6"/>
  <c r="J109" i="6"/>
  <c r="K109" i="6"/>
  <c r="L109" i="6"/>
  <c r="M109" i="6"/>
  <c r="N109" i="6"/>
  <c r="J110" i="6"/>
  <c r="K110" i="6"/>
  <c r="L110" i="6"/>
  <c r="M110" i="6"/>
  <c r="N110" i="6"/>
  <c r="J111" i="6"/>
  <c r="K111" i="6"/>
  <c r="L111" i="6"/>
  <c r="M111" i="6"/>
  <c r="N111" i="6"/>
  <c r="J113" i="6"/>
  <c r="K113" i="6"/>
  <c r="L113" i="6"/>
  <c r="M113" i="6"/>
  <c r="N113" i="6"/>
  <c r="J114" i="6"/>
  <c r="K114" i="6"/>
  <c r="L114" i="6"/>
  <c r="M114" i="6"/>
  <c r="N114" i="6"/>
  <c r="J115" i="6"/>
  <c r="K115" i="6"/>
  <c r="L115" i="6"/>
  <c r="M115" i="6"/>
  <c r="N115" i="6"/>
  <c r="J116" i="6"/>
  <c r="K116" i="6"/>
  <c r="L116" i="6"/>
  <c r="M116" i="6"/>
  <c r="N116" i="6"/>
  <c r="J117" i="6"/>
  <c r="K117" i="6"/>
  <c r="L117" i="6"/>
  <c r="M117" i="6"/>
  <c r="N117" i="6"/>
  <c r="J118" i="6"/>
  <c r="K118" i="6"/>
  <c r="L118" i="6"/>
  <c r="M118" i="6"/>
  <c r="N118" i="6"/>
  <c r="J119" i="6"/>
  <c r="K119" i="6"/>
  <c r="L119" i="6"/>
  <c r="M119" i="6"/>
  <c r="N119" i="6"/>
  <c r="J120" i="6"/>
  <c r="K120" i="6"/>
  <c r="L120" i="6"/>
  <c r="M120" i="6"/>
  <c r="N120" i="6"/>
  <c r="J121" i="6"/>
  <c r="K121" i="6"/>
  <c r="L121" i="6"/>
  <c r="M121" i="6"/>
  <c r="N121" i="6"/>
  <c r="J122" i="6"/>
  <c r="K122" i="6"/>
  <c r="L122" i="6"/>
  <c r="M122" i="6"/>
  <c r="N122" i="6"/>
  <c r="J123" i="6"/>
  <c r="K123" i="6"/>
  <c r="L123" i="6"/>
  <c r="M123" i="6"/>
  <c r="N123" i="6"/>
  <c r="J124" i="6"/>
  <c r="K124" i="6"/>
  <c r="L124" i="6"/>
  <c r="M124" i="6"/>
  <c r="N124" i="6"/>
  <c r="J125" i="6"/>
  <c r="K125" i="6"/>
  <c r="L125" i="6"/>
  <c r="M125" i="6"/>
  <c r="N125" i="6"/>
  <c r="J126" i="6"/>
  <c r="K126" i="6"/>
  <c r="L126" i="6"/>
  <c r="M126" i="6"/>
  <c r="N126" i="6"/>
  <c r="J128" i="6"/>
  <c r="K128" i="6"/>
  <c r="L128" i="6"/>
  <c r="M128" i="6"/>
  <c r="N128" i="6"/>
  <c r="J129" i="6"/>
  <c r="K129" i="6"/>
  <c r="L129" i="6"/>
  <c r="M129" i="6"/>
  <c r="N129" i="6"/>
  <c r="J130" i="6"/>
  <c r="K130" i="6"/>
  <c r="L130" i="6"/>
  <c r="M130" i="6"/>
  <c r="N130" i="6"/>
  <c r="J131" i="6"/>
  <c r="K131" i="6"/>
  <c r="L131" i="6"/>
  <c r="M131" i="6"/>
  <c r="N131" i="6"/>
  <c r="J132" i="6"/>
  <c r="K132" i="6"/>
  <c r="L132" i="6"/>
  <c r="M132" i="6"/>
  <c r="N132" i="6"/>
  <c r="J133" i="6"/>
  <c r="K133" i="6"/>
  <c r="L133" i="6"/>
  <c r="M133" i="6"/>
  <c r="N133" i="6"/>
  <c r="J134" i="6"/>
  <c r="K134" i="6"/>
  <c r="L134" i="6"/>
  <c r="M134" i="6"/>
  <c r="N134" i="6"/>
  <c r="J135" i="6"/>
  <c r="K135" i="6"/>
  <c r="L135" i="6"/>
  <c r="M135" i="6"/>
  <c r="N135" i="6"/>
  <c r="J136" i="6"/>
  <c r="K136" i="6"/>
  <c r="L136" i="6"/>
  <c r="M136" i="6"/>
  <c r="N136" i="6"/>
  <c r="J137" i="6"/>
  <c r="K137" i="6"/>
  <c r="L137" i="6"/>
  <c r="M137" i="6"/>
  <c r="N137" i="6"/>
  <c r="J138" i="6"/>
  <c r="K138" i="6"/>
  <c r="L138" i="6"/>
  <c r="M138" i="6"/>
  <c r="N138" i="6"/>
  <c r="J139" i="6"/>
  <c r="K139" i="6"/>
  <c r="L139" i="6"/>
  <c r="M139" i="6"/>
  <c r="N139" i="6"/>
  <c r="J140" i="6"/>
  <c r="K140" i="6"/>
  <c r="L140" i="6"/>
  <c r="M140" i="6"/>
  <c r="N140" i="6"/>
  <c r="J142" i="6"/>
  <c r="K142" i="6"/>
  <c r="L142" i="6"/>
  <c r="M142" i="6"/>
  <c r="N142" i="6"/>
  <c r="J147" i="6"/>
  <c r="K147" i="6"/>
  <c r="L147" i="6"/>
  <c r="M147" i="6"/>
  <c r="N147" i="6"/>
  <c r="J149" i="6"/>
  <c r="K149" i="6"/>
  <c r="L149" i="6"/>
  <c r="M149" i="6"/>
  <c r="N149" i="6"/>
  <c r="J150" i="6"/>
  <c r="K150" i="6"/>
  <c r="L150" i="6"/>
  <c r="M150" i="6"/>
  <c r="N150" i="6"/>
  <c r="J151" i="6"/>
  <c r="K151" i="6"/>
  <c r="L151" i="6"/>
  <c r="M151" i="6"/>
  <c r="N151" i="6"/>
  <c r="J152" i="6"/>
  <c r="K152" i="6"/>
  <c r="L152" i="6"/>
  <c r="M152" i="6"/>
  <c r="N152" i="6"/>
  <c r="J153" i="6"/>
  <c r="K153" i="6"/>
  <c r="L153" i="6"/>
  <c r="M153" i="6"/>
  <c r="N153" i="6"/>
  <c r="J154" i="6"/>
  <c r="K154" i="6"/>
  <c r="L154" i="6"/>
  <c r="M154" i="6"/>
  <c r="N154" i="6"/>
  <c r="J155" i="6"/>
  <c r="K155" i="6"/>
  <c r="L155" i="6"/>
  <c r="M155" i="6"/>
  <c r="N155" i="6"/>
  <c r="J156" i="6"/>
  <c r="K156" i="6"/>
  <c r="L156" i="6"/>
  <c r="M156" i="6"/>
  <c r="N156" i="6"/>
  <c r="J157" i="6"/>
  <c r="K157" i="6"/>
  <c r="L157" i="6"/>
  <c r="M157" i="6"/>
  <c r="N157" i="6"/>
  <c r="J158" i="6"/>
  <c r="K158" i="6"/>
  <c r="L158" i="6"/>
  <c r="M158" i="6"/>
  <c r="N158" i="6"/>
  <c r="J160" i="6"/>
  <c r="K160" i="6"/>
  <c r="L160" i="6"/>
  <c r="M160" i="6"/>
  <c r="N160" i="6"/>
  <c r="J161" i="6"/>
  <c r="K161" i="6"/>
  <c r="L161" i="6"/>
  <c r="M161" i="6"/>
  <c r="N161" i="6"/>
  <c r="J162" i="6"/>
  <c r="K162" i="6"/>
  <c r="L162" i="6"/>
  <c r="M162" i="6"/>
  <c r="N162" i="6"/>
  <c r="J163" i="6"/>
  <c r="K163" i="6"/>
  <c r="L163" i="6"/>
  <c r="M163" i="6"/>
  <c r="N163" i="6"/>
  <c r="J164" i="6"/>
  <c r="K164" i="6"/>
  <c r="L164" i="6"/>
  <c r="M164" i="6"/>
  <c r="N164" i="6"/>
  <c r="J165" i="6"/>
  <c r="K165" i="6"/>
  <c r="L165" i="6"/>
  <c r="M165" i="6"/>
  <c r="N165" i="6"/>
  <c r="J167" i="6"/>
  <c r="K167" i="6"/>
  <c r="L167" i="6"/>
  <c r="M167" i="6"/>
  <c r="N167" i="6"/>
  <c r="J168" i="6"/>
  <c r="K168" i="6"/>
  <c r="L168" i="6"/>
  <c r="M168" i="6"/>
  <c r="N168" i="6"/>
  <c r="J169" i="6"/>
  <c r="K169" i="6"/>
  <c r="L169" i="6"/>
  <c r="M169" i="6"/>
  <c r="N169" i="6"/>
  <c r="J170" i="6"/>
  <c r="K170" i="6"/>
  <c r="L170" i="6"/>
  <c r="M170" i="6"/>
  <c r="N170" i="6"/>
  <c r="J175" i="6"/>
  <c r="K175" i="6"/>
  <c r="L175" i="6"/>
  <c r="M175" i="6"/>
  <c r="N175" i="6"/>
  <c r="J176" i="6"/>
  <c r="K176" i="6"/>
  <c r="L176" i="6"/>
  <c r="M176" i="6"/>
  <c r="N176" i="6"/>
  <c r="J178" i="6"/>
  <c r="K178" i="6"/>
  <c r="L178" i="6"/>
  <c r="M178" i="6"/>
  <c r="N178" i="6"/>
  <c r="J180" i="6"/>
  <c r="K180" i="6"/>
  <c r="L180" i="6"/>
  <c r="M180" i="6"/>
  <c r="N180" i="6"/>
  <c r="J181" i="6"/>
  <c r="K181" i="6"/>
  <c r="L181" i="6"/>
  <c r="M181" i="6"/>
  <c r="N181" i="6"/>
  <c r="J182" i="6"/>
  <c r="K182" i="6"/>
  <c r="L182" i="6"/>
  <c r="M182" i="6"/>
  <c r="N182" i="6"/>
  <c r="J183" i="6"/>
  <c r="K183" i="6"/>
  <c r="L183" i="6"/>
  <c r="M183" i="6"/>
  <c r="N183" i="6"/>
  <c r="J184" i="6"/>
  <c r="K184" i="6"/>
  <c r="L184" i="6"/>
  <c r="M184" i="6"/>
  <c r="N184" i="6"/>
  <c r="J185" i="6"/>
  <c r="K185" i="6"/>
  <c r="L185" i="6"/>
  <c r="M185" i="6"/>
  <c r="N185" i="6"/>
  <c r="J186" i="6"/>
  <c r="K186" i="6"/>
  <c r="L186" i="6"/>
  <c r="M186" i="6"/>
  <c r="N186" i="6"/>
  <c r="J187" i="6"/>
  <c r="K187" i="6"/>
  <c r="L187" i="6"/>
  <c r="M187" i="6"/>
  <c r="N187" i="6"/>
  <c r="J188" i="6"/>
  <c r="K188" i="6"/>
  <c r="L188" i="6"/>
  <c r="M188" i="6"/>
  <c r="N188" i="6"/>
  <c r="J189" i="6"/>
  <c r="K189" i="6"/>
  <c r="L189" i="6"/>
  <c r="M189" i="6"/>
  <c r="N189" i="6"/>
  <c r="J190" i="6"/>
  <c r="K190" i="6"/>
  <c r="L190" i="6"/>
  <c r="M190" i="6"/>
  <c r="N190" i="6"/>
  <c r="J191" i="6"/>
  <c r="K191" i="6"/>
  <c r="L191" i="6"/>
  <c r="M191" i="6"/>
  <c r="N191" i="6"/>
  <c r="J193" i="6"/>
  <c r="K193" i="6"/>
  <c r="L193" i="6"/>
  <c r="M193" i="6"/>
  <c r="N193" i="6"/>
  <c r="J194" i="6"/>
  <c r="K194" i="6"/>
  <c r="L194" i="6"/>
  <c r="M194" i="6"/>
  <c r="N194" i="6"/>
  <c r="J197" i="6"/>
  <c r="K197" i="6"/>
  <c r="L197" i="6"/>
  <c r="M197" i="6"/>
  <c r="N197" i="6"/>
  <c r="J198" i="6"/>
  <c r="K198" i="6"/>
  <c r="L198" i="6"/>
  <c r="M198" i="6"/>
  <c r="N198" i="6"/>
  <c r="J199" i="6"/>
  <c r="K199" i="6"/>
  <c r="L199" i="6"/>
  <c r="M199" i="6"/>
  <c r="N199" i="6"/>
  <c r="J200" i="6"/>
  <c r="K200" i="6"/>
  <c r="L200" i="6"/>
  <c r="M200" i="6"/>
  <c r="N200" i="6"/>
  <c r="J201" i="6"/>
  <c r="K201" i="6"/>
  <c r="L201" i="6"/>
  <c r="M201" i="6"/>
  <c r="N201" i="6"/>
  <c r="J204" i="6"/>
  <c r="K204" i="6"/>
  <c r="L204" i="6"/>
  <c r="M204" i="6"/>
  <c r="N204" i="6"/>
  <c r="L207" i="6"/>
  <c r="M207" i="6"/>
  <c r="N207" i="6"/>
  <c r="L208" i="6"/>
  <c r="N208" i="6"/>
  <c r="R10" i="4"/>
  <c r="R12" i="4"/>
  <c r="R13" i="4"/>
  <c r="R15" i="4"/>
  <c r="R24" i="4"/>
  <c r="R25" i="4"/>
  <c r="R35" i="4"/>
  <c r="R40" i="4"/>
  <c r="R41" i="4"/>
  <c r="R44" i="4"/>
  <c r="R46" i="4"/>
  <c r="R47" i="4"/>
  <c r="R48" i="4"/>
  <c r="R49" i="4"/>
  <c r="R51" i="4"/>
  <c r="R54" i="4"/>
  <c r="R55" i="4"/>
  <c r="R56" i="4"/>
  <c r="R66" i="4"/>
  <c r="R68" i="4"/>
  <c r="R69" i="4"/>
  <c r="R70" i="4"/>
  <c r="R71" i="4"/>
  <c r="R72" i="4"/>
  <c r="R73" i="4"/>
  <c r="R74" i="4"/>
  <c r="R75" i="4"/>
  <c r="R121" i="4"/>
  <c r="R122" i="4"/>
  <c r="R123" i="4"/>
  <c r="R125" i="4"/>
  <c r="R128" i="4"/>
  <c r="R140" i="4"/>
  <c r="R141" i="4"/>
  <c r="R142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7" i="4"/>
  <c r="R160" i="4"/>
  <c r="R166" i="4"/>
  <c r="R170" i="4"/>
  <c r="R175" i="4"/>
  <c r="R177" i="4"/>
  <c r="R178" i="4"/>
  <c r="R179" i="4"/>
  <c r="R195" i="4"/>
  <c r="R196" i="4"/>
  <c r="R203" i="4"/>
  <c r="R205" i="4"/>
  <c r="R206" i="4"/>
  <c r="R207" i="4"/>
  <c r="R208" i="4"/>
  <c r="R209" i="4"/>
  <c r="R210" i="4"/>
  <c r="R218" i="4"/>
  <c r="R219" i="4"/>
  <c r="R222" i="4"/>
  <c r="R226" i="4"/>
  <c r="R229" i="4"/>
  <c r="R232" i="4"/>
  <c r="R233" i="4"/>
</calcChain>
</file>

<file path=xl/sharedStrings.xml><?xml version="1.0" encoding="utf-8"?>
<sst xmlns="http://schemas.openxmlformats.org/spreadsheetml/2006/main" count="751" uniqueCount="174">
  <si>
    <t>№</t>
  </si>
  <si>
    <t>Дорожные элементы</t>
  </si>
  <si>
    <t>Волна</t>
  </si>
  <si>
    <t>Сан Тропе</t>
  </si>
  <si>
    <t>Старый город "Ландхаус"</t>
  </si>
  <si>
    <t>Цветовая палитра</t>
  </si>
  <si>
    <t>Серый</t>
  </si>
  <si>
    <t>Размер,
 мм</t>
  </si>
  <si>
    <t>Вес поддона, 
кг</t>
  </si>
  <si>
    <t>Дорожные плиты</t>
  </si>
  <si>
    <t>Старый город</t>
  </si>
  <si>
    <t xml:space="preserve"> -</t>
  </si>
  <si>
    <t>Красный</t>
  </si>
  <si>
    <t>Желтый</t>
  </si>
  <si>
    <t>Белый</t>
  </si>
  <si>
    <t>Оранжевый</t>
  </si>
  <si>
    <t>Высота,
мм</t>
  </si>
  <si>
    <t>240х135</t>
  </si>
  <si>
    <t>400х600</t>
  </si>
  <si>
    <t>1000х500</t>
  </si>
  <si>
    <t>240х120</t>
  </si>
  <si>
    <t>80х160
160х160
240х160</t>
  </si>
  <si>
    <t>1000х1000</t>
  </si>
  <si>
    <t>Ривьера</t>
  </si>
  <si>
    <t>133х132
166,25х132
232,75х132
266х132</t>
  </si>
  <si>
    <t>Норма загрузки авто
г/п 20т, под</t>
  </si>
  <si>
    <t>1200х1000</t>
  </si>
  <si>
    <t>Голливуд</t>
  </si>
  <si>
    <t>Циркон</t>
  </si>
  <si>
    <t>Бордюр тротуарный БР100.20.8</t>
  </si>
  <si>
    <t>Бордюр дорожный БР100.30.15</t>
  </si>
  <si>
    <t>Лоток Б1.18.50</t>
  </si>
  <si>
    <r>
      <t>Кол-во на поддоне, м</t>
    </r>
    <r>
      <rPr>
        <b/>
        <vertAlign val="superscript"/>
        <sz val="11"/>
        <color indexed="8"/>
        <rFont val="Calibri"/>
        <family val="2"/>
        <charset val="204"/>
      </rPr>
      <t>2</t>
    </r>
  </si>
  <si>
    <r>
      <t>Розничная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</si>
  <si>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Прямоугольник</t>
  </si>
  <si>
    <t>Газонная решетка ("Меба")</t>
  </si>
  <si>
    <t>"Грин Галет"</t>
  </si>
  <si>
    <t>200х200</t>
  </si>
  <si>
    <t>Коричневый</t>
  </si>
  <si>
    <t>100х100</t>
  </si>
  <si>
    <t>200х50</t>
  </si>
  <si>
    <t>283х200</t>
  </si>
  <si>
    <t>200х100</t>
  </si>
  <si>
    <t>Лувр</t>
  </si>
  <si>
    <t>Песочный</t>
  </si>
  <si>
    <t>1000х150</t>
  </si>
  <si>
    <t>1000х80</t>
  </si>
  <si>
    <t>Грифельный</t>
  </si>
  <si>
    <t>Серебристый</t>
  </si>
  <si>
    <t>Янтарный</t>
  </si>
  <si>
    <t>Винный</t>
  </si>
  <si>
    <t>Медовый</t>
  </si>
  <si>
    <t>Коралловый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</si>
  <si>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</si>
  <si>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без НДС, руб</t>
    </r>
    <r>
      <rPr>
        <b/>
        <sz val="11"/>
        <color indexed="8"/>
        <rFont val="Calibri"/>
        <family val="2"/>
        <charset val="204"/>
      </rPr>
      <t>)</t>
    </r>
  </si>
  <si>
    <t>180/230</t>
  </si>
  <si>
    <r>
      <t>Стоп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</si>
  <si>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"Венусбергер"</t>
  </si>
  <si>
    <t>120х160
160х160
240х160</t>
  </si>
  <si>
    <t>400х400</t>
  </si>
  <si>
    <t>300х300
450х300
600х300</t>
  </si>
  <si>
    <t>Домино</t>
  </si>
  <si>
    <t>Мозаика</t>
  </si>
  <si>
    <t>Триада</t>
  </si>
  <si>
    <t>500х200</t>
  </si>
  <si>
    <t>Классико
57х115
115Х115
172х115</t>
  </si>
  <si>
    <t>Классико круговая
73х110х115</t>
  </si>
  <si>
    <t>200х100
200х200
300х200</t>
  </si>
  <si>
    <t>Color Mix
"Каштан"</t>
  </si>
  <si>
    <t>Color Mix
 "Фламинго"</t>
  </si>
  <si>
    <t>Color Mix
Сафари</t>
  </si>
  <si>
    <t>Патио</t>
  </si>
  <si>
    <t>Стеновые материалы</t>
  </si>
  <si>
    <t>бетон</t>
  </si>
  <si>
    <t>390х90х188</t>
  </si>
  <si>
    <t>керамзито-бетон</t>
  </si>
  <si>
    <t>700-900</t>
  </si>
  <si>
    <t>Камень перегородочный пустотелый</t>
  </si>
  <si>
    <t>Топ 75</t>
  </si>
  <si>
    <t>Топ-75</t>
  </si>
  <si>
    <t>Классико, Классико круговая</t>
  </si>
  <si>
    <t>Тиара</t>
  </si>
  <si>
    <r>
      <t>Цена субдилера 1м</t>
    </r>
    <r>
      <rPr>
        <b/>
        <vertAlign val="superscript"/>
        <sz val="11"/>
        <color indexed="8"/>
        <rFont val="Calibri"/>
        <family val="2"/>
        <charset val="204"/>
      </rPr>
      <t xml:space="preserve">2
</t>
    </r>
    <r>
      <rPr>
        <b/>
        <sz val="11"/>
        <color indexed="8"/>
        <rFont val="Calibri"/>
        <family val="2"/>
        <charset val="204"/>
      </rPr>
      <t xml:space="preserve">( </t>
    </r>
    <r>
      <rPr>
        <b/>
        <sz val="11"/>
        <color indexed="10"/>
        <rFont val="Calibri"/>
        <family val="2"/>
        <charset val="204"/>
      </rPr>
      <t>с НДС, руб.</t>
    </r>
    <r>
      <rPr>
        <b/>
        <sz val="11"/>
        <color indexed="8"/>
        <rFont val="Calibri"/>
        <family val="2"/>
        <charset val="204"/>
      </rPr>
      <t>)</t>
    </r>
  </si>
  <si>
    <t>Color Mix
 "Каньон"</t>
  </si>
  <si>
    <t>Color Mix
 "Плато"</t>
  </si>
  <si>
    <t>Color Mix
"Туман"</t>
  </si>
  <si>
    <t>Color Mix
"Мальва"</t>
  </si>
  <si>
    <t>Color Mix
"Рассвет"</t>
  </si>
  <si>
    <t>Color Mix
 "Песчаник"</t>
  </si>
  <si>
    <t>Color Mix
"Сахара"</t>
  </si>
  <si>
    <t>Color Mix
"Плато"</t>
  </si>
  <si>
    <t>Color Mix
"Саванна"</t>
  </si>
  <si>
    <t>Color Mix
 "Прайд"</t>
  </si>
  <si>
    <t>Color Mix
"Прайд"</t>
  </si>
  <si>
    <t>Color Mix
"Мускат"</t>
  </si>
  <si>
    <t>Color Mix
"Эверест"</t>
  </si>
  <si>
    <t>Color Mix
"Степь"</t>
  </si>
  <si>
    <t>Color Mix
 "Рассвет"</t>
  </si>
  <si>
    <t>Color Mix
 "Закат"</t>
  </si>
  <si>
    <t>Color Mix
 "Вечер"</t>
  </si>
  <si>
    <t>Color Mix
 "Туман"</t>
  </si>
  <si>
    <t>Color Mix
 "Мальва"</t>
  </si>
  <si>
    <t>Color Mix
 "Койот"</t>
  </si>
  <si>
    <t>Color Mix
 "Техас"</t>
  </si>
  <si>
    <t xml:space="preserve">Мрамор
</t>
  </si>
  <si>
    <t>Гранит на белом</t>
  </si>
  <si>
    <t>Гранит на сером</t>
  </si>
  <si>
    <t>Color Mix
"Техас"</t>
  </si>
  <si>
    <t>Color Mix                "Рассвет"</t>
  </si>
  <si>
    <t>Color Mix
 "Каштан"</t>
  </si>
  <si>
    <t>Сити</t>
  </si>
  <si>
    <t>Color Mix
"Каньон"</t>
  </si>
  <si>
    <t>Color Mix
"Песчаник"</t>
  </si>
  <si>
    <t>Заказ *</t>
  </si>
  <si>
    <t>Розничная к Дистрибьютеру</t>
  </si>
  <si>
    <t>Стоп к розничной</t>
  </si>
  <si>
    <t>Субдилера к дистрибьютера</t>
  </si>
  <si>
    <t>Бордюр шарнирный БРШ 500*20*78</t>
  </si>
  <si>
    <t>500*78</t>
  </si>
  <si>
    <t>Цена без НДС с учетом повышения цена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</si>
  <si>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до повышения цен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</si>
  <si>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"Веймар"</t>
  </si>
  <si>
    <t>128/93*160    145/110*160     163/128*160</t>
  </si>
  <si>
    <t>Color Mix
Тип 3 / "Мальва"</t>
  </si>
  <si>
    <t>Color Mix
Тип 17 / "Прайд"</t>
  </si>
  <si>
    <t>Color Mix
Тип 7 / "Туман"</t>
  </si>
  <si>
    <t>280х120     
360х120  
 480х120     
 480х160       
 640х160</t>
  </si>
  <si>
    <t xml:space="preserve">630х420
420х420
210х420
210х210
</t>
  </si>
  <si>
    <t>500х500</t>
  </si>
  <si>
    <t xml:space="preserve">
100х160
160х160
260х160
</t>
  </si>
  <si>
    <t>Прайс-лист ТП от 01.04.2020</t>
  </si>
  <si>
    <t>Color Mix
"Ночь"</t>
  </si>
  <si>
    <t>Черный</t>
  </si>
  <si>
    <t>Color Mix
"Закат"</t>
  </si>
  <si>
    <t>Кол-во на поддоне, п.м</t>
  </si>
  <si>
    <t>Сити                    300х150</t>
  </si>
  <si>
    <t xml:space="preserve">Сити                        300х300
</t>
  </si>
  <si>
    <t>Сити                       600х300</t>
  </si>
  <si>
    <t>Кол-во на поддоне, м2 / п.м</t>
  </si>
  <si>
    <t>Тротуарные плиты</t>
  </si>
  <si>
    <t>Бетонная продукция под заказ</t>
  </si>
  <si>
    <r>
      <rPr>
        <b/>
        <sz val="12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</si>
  <si>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Гранит белый</t>
  </si>
  <si>
    <t>Гранит серый</t>
  </si>
  <si>
    <t>ООО "ТД БРАЕР"</t>
  </si>
  <si>
    <t>td@braer.ru, www.braer.ru</t>
  </si>
  <si>
    <t>тел/факс: +7 (495) 645-71-20</t>
  </si>
  <si>
    <t>117186, г. Москва, ул. Нагорная, д. 18, к. 4</t>
  </si>
  <si>
    <r>
      <rPr>
        <b/>
        <sz val="16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</si>
  <si>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Лоток садовый</t>
  </si>
  <si>
    <t>Паркет</t>
  </si>
  <si>
    <t xml:space="preserve">Сити
300х300
</t>
  </si>
  <si>
    <t>Сити
600х300</t>
  </si>
  <si>
    <t>280х120
360х120
480х120
480х160
640х160</t>
  </si>
  <si>
    <t>Color Mix
 "Степь"</t>
  </si>
  <si>
    <t>Ригель</t>
  </si>
  <si>
    <t>320*80</t>
  </si>
  <si>
    <t>Классико Дуо</t>
  </si>
  <si>
    <t>115/172*115</t>
  </si>
  <si>
    <t xml:space="preserve">Сити
300х150
</t>
  </si>
  <si>
    <t>Color Mix
"Миндаль"</t>
  </si>
  <si>
    <t>Старый город "Ландхаус" 2.0</t>
  </si>
  <si>
    <t>Прайс-лист ТП 2023 от 01.04.23</t>
  </si>
  <si>
    <r>
      <t>Кол-во на поддоне, м</t>
    </r>
    <r>
      <rPr>
        <b/>
        <vertAlign val="superscript"/>
        <sz val="20"/>
        <color indexed="8"/>
        <rFont val="Arial"/>
        <family val="2"/>
        <charset val="204"/>
      </rPr>
      <t>2</t>
    </r>
  </si>
  <si>
    <r>
      <t>Розничная цена 1м</t>
    </r>
    <r>
      <rPr>
        <b/>
        <vertAlign val="superscript"/>
        <sz val="20"/>
        <color indexed="8"/>
        <rFont val="Arial"/>
        <family val="2"/>
        <charset val="204"/>
      </rPr>
      <t>2</t>
    </r>
    <r>
      <rPr>
        <b/>
        <sz val="20"/>
        <color indexed="8"/>
        <rFont val="Arial"/>
        <family val="2"/>
        <charset val="204"/>
      </rPr>
      <t>, 
(</t>
    </r>
    <r>
      <rPr>
        <b/>
        <sz val="20"/>
        <color indexed="10"/>
        <rFont val="Arial"/>
        <family val="2"/>
        <charset val="204"/>
      </rPr>
      <t>с НДС, руб</t>
    </r>
    <r>
      <rPr>
        <b/>
        <sz val="20"/>
        <color indexed="8"/>
        <rFont val="Arial"/>
        <family val="2"/>
        <charset val="204"/>
      </rPr>
      <t>)</t>
    </r>
  </si>
  <si>
    <r>
      <t>Розничная цена 1 п.м</t>
    </r>
    <r>
      <rPr>
        <b/>
        <sz val="20"/>
        <color indexed="8"/>
        <rFont val="Arial"/>
        <family val="2"/>
        <charset val="204"/>
      </rPr>
      <t>, 
(</t>
    </r>
    <r>
      <rPr>
        <b/>
        <sz val="20"/>
        <color indexed="10"/>
        <rFont val="Arial"/>
        <family val="2"/>
        <charset val="204"/>
      </rPr>
      <t>с НДС, руб</t>
    </r>
    <r>
      <rPr>
        <b/>
        <sz val="20"/>
        <color indexed="8"/>
        <rFont val="Arial"/>
        <family val="2"/>
        <charset val="204"/>
      </rPr>
      <t>)</t>
    </r>
  </si>
  <si>
    <r>
      <rPr>
        <b/>
        <sz val="16"/>
        <color theme="1"/>
        <rFont val="Calibri"/>
        <family val="2"/>
        <charset val="204"/>
        <scheme val="minor"/>
      </rPr>
      <t>Классико круговая</t>
    </r>
    <r>
      <rPr>
        <sz val="16"/>
        <color theme="1"/>
        <rFont val="Calibri"/>
        <family val="2"/>
        <charset val="204"/>
        <scheme val="minor"/>
      </rPr>
      <t xml:space="preserve">
Серый</t>
    </r>
  </si>
  <si>
    <r>
      <rPr>
        <b/>
        <sz val="16"/>
        <color theme="1"/>
        <rFont val="Calibri"/>
        <family val="2"/>
        <charset val="204"/>
        <scheme val="minor"/>
      </rPr>
      <t>Классико</t>
    </r>
    <r>
      <rPr>
        <sz val="16"/>
        <color theme="1"/>
        <rFont val="Calibri"/>
        <family val="2"/>
        <charset val="204"/>
        <scheme val="minor"/>
      </rPr>
      <t xml:space="preserve">
Белый</t>
    </r>
  </si>
  <si>
    <r>
      <rPr>
        <b/>
        <sz val="16"/>
        <color theme="1"/>
        <rFont val="Calibri"/>
        <family val="2"/>
        <charset val="204"/>
        <scheme val="minor"/>
      </rPr>
      <t>Классико</t>
    </r>
    <r>
      <rPr>
        <sz val="16"/>
        <color theme="1"/>
        <rFont val="Calibri"/>
        <family val="2"/>
        <charset val="204"/>
        <scheme val="minor"/>
      </rPr>
      <t xml:space="preserve">
Медовый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</si>
  <si>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</t>
    </r>
    <r>
      <rPr>
        <sz val="16"/>
        <color theme="1"/>
        <rFont val="Calibri"/>
        <family val="2"/>
        <charset val="204"/>
        <scheme val="minor"/>
      </rPr>
      <t>я
Песочный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</si>
  <si>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Винный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</si>
  <si>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Коричневый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</si>
  <si>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Color Mix
"Мальва"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</si>
  <si>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Color Mix
"Туман"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</si>
</sst>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_₽"/>
    <numFmt numFmtId="165" formatCode="0.0000%"/>
    <numFmt numFmtId="166" formatCode="0.0000000%"/>
  </numFmts>
  <fonts count="33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vertAlign val="superscript"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theme="1"/>
      <name val="Calisto MT"/>
      <family val="1"/>
    </font>
    <font>
      <sz val="14"/>
      <color theme="1"/>
      <name val="Calisto MT"/>
      <family val="1"/>
    </font>
    <font>
      <b/>
      <sz val="16"/>
      <color theme="1"/>
      <name val="Calisto MT"/>
      <family val="1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sto MT"/>
      <family val="1"/>
    </font>
    <font>
      <sz val="21"/>
      <color rgb="FF000000"/>
      <name val="Segoe UI"/>
      <family val="2"/>
      <charset val="204"/>
    </font>
    <font>
      <sz val="20"/>
      <color theme="1"/>
      <name val="Arial"/>
      <family val="2"/>
      <charset val="204"/>
    </font>
    <font>
      <b/>
      <sz val="20"/>
      <color theme="1"/>
      <name val="Arial"/>
      <family val="2"/>
      <charset val="204"/>
    </font>
    <font>
      <b/>
      <vertAlign val="superscript"/>
      <sz val="20"/>
      <color indexed="8"/>
      <name val="Arial"/>
      <family val="2"/>
      <charset val="204"/>
    </font>
    <font>
      <b/>
      <sz val="20"/>
      <color indexed="8"/>
      <name val="Arial"/>
      <family val="2"/>
      <charset val="204"/>
    </font>
    <font>
      <b/>
      <sz val="20"/>
      <color indexed="10"/>
      <name val="Arial"/>
      <family val="2"/>
      <charset val="204"/>
    </font>
    <font>
      <sz val="20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EF7CE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A347"/>
        <bgColor indexed="64"/>
      </patternFill>
    </fill>
    <fill>
      <patternFill patternType="solid">
        <fgColor rgb="FFD86E76"/>
        <bgColor indexed="64"/>
      </patternFill>
    </fill>
    <fill>
      <patternFill patternType="solid">
        <fgColor rgb="FFFFDCB9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785612"/>
        <bgColor indexed="64"/>
      </patternFill>
    </fill>
    <fill>
      <patternFill patternType="solid">
        <fgColor rgb="FFDBC7AD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ADA7B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3E2204"/>
        <bgColor indexed="64"/>
      </patternFill>
    </fill>
  </fills>
  <borders count="9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9" fillId="2" borderId="0" applyNumberFormat="0" applyBorder="0" applyAlignment="0" applyProtection="0"/>
    <xf numFmtId="9" fontId="6" fillId="0" borderId="0" applyFont="0" applyFill="0" applyBorder="0" applyAlignment="0" applyProtection="0"/>
  </cellStyleXfs>
  <cellXfs count="1082">
    <xf numFmtId="0" fontId="0" fillId="0" borderId="0" xfId="0"/>
    <xf numFmtId="3" fontId="8" fillId="3" borderId="1" xfId="0" applyNumberFormat="1" applyFont="1" applyFill="1" applyBorder="1" applyAlignment="1" applyProtection="1">
      <alignment horizontal="center" vertical="center"/>
      <protection hidden="1"/>
    </xf>
    <xf numFmtId="3" fontId="8" fillId="3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6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Protection="1">
      <protection hidden="1"/>
    </xf>
    <xf numFmtId="0" fontId="12" fillId="0" borderId="4" xfId="0" applyFont="1" applyFill="1" applyBorder="1" applyAlignment="1" applyProtection="1">
      <alignment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1" fontId="8" fillId="4" borderId="5" xfId="0" applyNumberFormat="1" applyFont="1" applyFill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1" fontId="8" fillId="3" borderId="9" xfId="0" applyNumberFormat="1" applyFont="1" applyFill="1" applyBorder="1" applyAlignment="1" applyProtection="1">
      <alignment horizontal="center" vertical="center"/>
      <protection hidden="1"/>
    </xf>
    <xf numFmtId="0" fontId="8" fillId="5" borderId="4" xfId="0" applyFont="1" applyFill="1" applyBorder="1" applyAlignment="1" applyProtection="1">
      <alignment vertical="center"/>
      <protection hidden="1"/>
    </xf>
    <xf numFmtId="1" fontId="8" fillId="4" borderId="2" xfId="0" applyNumberFormat="1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 wrapText="1"/>
      <protection hidden="1"/>
    </xf>
    <xf numFmtId="0" fontId="8" fillId="5" borderId="15" xfId="0" applyFont="1" applyFill="1" applyBorder="1" applyAlignment="1" applyProtection="1">
      <alignment vertical="center"/>
      <protection hidden="1"/>
    </xf>
    <xf numFmtId="1" fontId="8" fillId="3" borderId="1" xfId="0" applyNumberFormat="1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vertical="center"/>
      <protection hidden="1"/>
    </xf>
    <xf numFmtId="3" fontId="0" fillId="3" borderId="17" xfId="0" applyNumberFormat="1" applyFill="1" applyBorder="1" applyAlignment="1" applyProtection="1">
      <alignment horizontal="center" vertical="center"/>
      <protection hidden="1"/>
    </xf>
    <xf numFmtId="164" fontId="13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0" xfId="0" applyNumberFormat="1" applyFill="1" applyBorder="1" applyAlignment="1" applyProtection="1">
      <alignment horizontal="center" vertical="center"/>
      <protection hidden="1"/>
    </xf>
    <xf numFmtId="3" fontId="0" fillId="3" borderId="11" xfId="0" applyNumberFormat="1" applyFill="1" applyBorder="1" applyAlignment="1" applyProtection="1">
      <alignment horizontal="center" vertical="center"/>
      <protection hidden="1"/>
    </xf>
    <xf numFmtId="164" fontId="0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3" xfId="0" applyNumberFormat="1" applyFill="1" applyBorder="1" applyAlignment="1" applyProtection="1">
      <alignment horizontal="center" vertical="center"/>
      <protection hidden="1"/>
    </xf>
    <xf numFmtId="3" fontId="0" fillId="3" borderId="14" xfId="0" applyNumberFormat="1" applyFill="1" applyBorder="1" applyAlignment="1" applyProtection="1">
      <alignment horizontal="center" vertical="center"/>
      <protection hidden="1"/>
    </xf>
    <xf numFmtId="164" fontId="0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19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/>
      <protection hidden="1"/>
    </xf>
    <xf numFmtId="3" fontId="8" fillId="4" borderId="21" xfId="0" applyNumberFormat="1" applyFont="1" applyFill="1" applyBorder="1" applyAlignment="1" applyProtection="1">
      <alignment horizontal="center" vertical="center"/>
      <protection hidden="1"/>
    </xf>
    <xf numFmtId="164" fontId="13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2" xfId="0" applyNumberFormat="1" applyFill="1" applyBorder="1" applyAlignment="1" applyProtection="1">
      <alignment horizontal="center" vertical="center"/>
      <protection hidden="1"/>
    </xf>
    <xf numFmtId="3" fontId="8" fillId="4" borderId="23" xfId="0" applyNumberFormat="1" applyFont="1" applyFill="1" applyBorder="1" applyAlignment="1" applyProtection="1">
      <alignment horizontal="center" vertical="center"/>
      <protection hidden="1"/>
    </xf>
    <xf numFmtId="3" fontId="0" fillId="3" borderId="24" xfId="0" applyNumberForma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vertical="center"/>
      <protection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1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3" borderId="27" xfId="0" applyNumberFormat="1" applyFont="1" applyFill="1" applyBorder="1" applyAlignment="1" applyProtection="1">
      <alignment horizontal="center" vertical="center"/>
      <protection hidden="1"/>
    </xf>
    <xf numFmtId="1" fontId="8" fillId="3" borderId="12" xfId="0" applyNumberFormat="1" applyFont="1" applyFill="1" applyBorder="1" applyAlignment="1" applyProtection="1">
      <alignment horizontal="center" vertical="center"/>
      <protection hidden="1"/>
    </xf>
    <xf numFmtId="0" fontId="0" fillId="3" borderId="22" xfId="0" applyNumberFormat="1" applyFont="1" applyFill="1" applyBorder="1" applyAlignment="1" applyProtection="1">
      <alignment horizontal="center" vertical="center"/>
      <protection hidden="1"/>
    </xf>
    <xf numFmtId="1" fontId="8" fillId="3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28" xfId="0" applyNumberFormat="1" applyFont="1" applyFill="1" applyBorder="1" applyAlignment="1" applyProtection="1">
      <alignment horizontal="center" vertical="center"/>
      <protection hidden="1"/>
    </xf>
    <xf numFmtId="1" fontId="8" fillId="3" borderId="21" xfId="0" applyNumberFormat="1" applyFont="1" applyFill="1" applyBorder="1" applyAlignment="1" applyProtection="1">
      <alignment horizontal="center" vertical="center"/>
      <protection hidden="1"/>
    </xf>
    <xf numFmtId="1" fontId="8" fillId="4" borderId="21" xfId="0" applyNumberFormat="1" applyFont="1" applyFill="1" applyBorder="1" applyAlignment="1" applyProtection="1">
      <alignment horizontal="center" vertical="center"/>
      <protection hidden="1"/>
    </xf>
    <xf numFmtId="1" fontId="8" fillId="3" borderId="23" xfId="0" applyNumberFormat="1" applyFont="1" applyFill="1" applyBorder="1" applyAlignment="1" applyProtection="1">
      <alignment horizontal="center" vertical="center"/>
      <protection hidden="1"/>
    </xf>
    <xf numFmtId="1" fontId="8" fillId="3" borderId="0" xfId="0" applyNumberFormat="1" applyFont="1" applyFill="1" applyBorder="1" applyAlignment="1" applyProtection="1">
      <alignment horizontal="center" vertical="center"/>
      <protection hidden="1"/>
    </xf>
    <xf numFmtId="1" fontId="8" fillId="3" borderId="29" xfId="0" applyNumberFormat="1" applyFont="1" applyFill="1" applyBorder="1" applyAlignment="1" applyProtection="1">
      <alignment horizontal="center" vertical="center"/>
      <protection hidden="1"/>
    </xf>
    <xf numFmtId="1" fontId="8" fillId="3" borderId="5" xfId="0" applyNumberFormat="1" applyFont="1" applyFill="1" applyBorder="1" applyAlignment="1" applyProtection="1">
      <alignment horizontal="center" vertical="center"/>
      <protection hidden="1"/>
    </xf>
    <xf numFmtId="1" fontId="8" fillId="3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166" fontId="6" fillId="6" borderId="0" xfId="2" applyNumberFormat="1" applyFont="1" applyFill="1" applyProtection="1">
      <protection hidden="1"/>
    </xf>
    <xf numFmtId="0" fontId="8" fillId="0" borderId="30" xfId="0" applyFont="1" applyFill="1" applyBorder="1" applyAlignment="1" applyProtection="1">
      <alignment vertical="center"/>
      <protection hidden="1"/>
    </xf>
    <xf numFmtId="1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protection hidden="1"/>
    </xf>
    <xf numFmtId="1" fontId="8" fillId="3" borderId="31" xfId="0" applyNumberFormat="1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wrapText="1"/>
      <protection hidden="1"/>
    </xf>
    <xf numFmtId="0" fontId="8" fillId="0" borderId="4" xfId="0" applyFont="1" applyFill="1" applyBorder="1" applyAlignment="1" applyProtection="1">
      <alignment vertical="center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10" fontId="6" fillId="6" borderId="0" xfId="2" applyNumberFormat="1" applyFont="1" applyFill="1" applyProtection="1"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vertical="center" wrapText="1"/>
      <protection hidden="1"/>
    </xf>
    <xf numFmtId="1" fontId="8" fillId="3" borderId="32" xfId="0" applyNumberFormat="1" applyFont="1" applyFill="1" applyBorder="1" applyAlignment="1" applyProtection="1">
      <alignment horizontal="center" vertical="center"/>
      <protection hidden="1"/>
    </xf>
    <xf numFmtId="1" fontId="8" fillId="3" borderId="1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4" fillId="0" borderId="0" xfId="0" applyFont="1" applyBorder="1" applyProtection="1"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11" fillId="0" borderId="0" xfId="0" applyNumberFormat="1" applyFont="1" applyFill="1" applyAlignment="1" applyProtection="1">
      <alignment horizontal="center" vertical="center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3" borderId="27" xfId="0" applyNumberFormat="1" applyFont="1" applyFill="1" applyBorder="1" applyAlignment="1" applyProtection="1">
      <alignment horizontal="center" vertical="center"/>
      <protection hidden="1"/>
    </xf>
    <xf numFmtId="164" fontId="0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3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8" fillId="0" borderId="8" xfId="0" applyFont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 wrapText="1"/>
      <protection hidden="1"/>
    </xf>
    <xf numFmtId="0" fontId="0" fillId="4" borderId="7" xfId="0" applyFont="1" applyFill="1" applyBorder="1" applyAlignment="1" applyProtection="1">
      <alignment horizontal="center" vertical="center" wrapText="1"/>
      <protection hidden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0" fillId="3" borderId="8" xfId="0" applyFont="1" applyFill="1" applyBorder="1" applyAlignment="1" applyProtection="1">
      <alignment horizontal="center" vertical="center"/>
      <protection hidden="1"/>
    </xf>
    <xf numFmtId="3" fontId="8" fillId="4" borderId="7" xfId="0" applyNumberFormat="1" applyFont="1" applyFill="1" applyBorder="1" applyAlignment="1" applyProtection="1">
      <alignment horizontal="center" vertical="center"/>
      <protection hidden="1"/>
    </xf>
    <xf numFmtId="3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8" xfId="0" applyNumberFormat="1" applyFont="1" applyFill="1" applyBorder="1" applyAlignment="1" applyProtection="1">
      <alignment horizontal="center"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0" fontId="0" fillId="3" borderId="29" xfId="0" applyFont="1" applyFill="1" applyBorder="1" applyAlignment="1" applyProtection="1">
      <alignment horizontal="center" vertical="center" wrapText="1"/>
      <protection hidden="1"/>
    </xf>
    <xf numFmtId="0" fontId="0" fillId="3" borderId="30" xfId="0" applyFont="1" applyFill="1" applyBorder="1" applyAlignment="1" applyProtection="1">
      <alignment horizontal="center" vertical="center"/>
      <protection hidden="1"/>
    </xf>
    <xf numFmtId="3" fontId="8" fillId="4" borderId="33" xfId="0" applyNumberFormat="1" applyFont="1" applyFill="1" applyBorder="1" applyAlignment="1" applyProtection="1">
      <alignment horizontal="center" vertical="center"/>
      <protection hidden="1"/>
    </xf>
    <xf numFmtId="3" fontId="8" fillId="4" borderId="30" xfId="0" applyNumberFormat="1" applyFont="1" applyFill="1" applyBorder="1" applyAlignment="1" applyProtection="1">
      <alignment horizontal="center" vertical="center"/>
      <protection hidden="1"/>
    </xf>
    <xf numFmtId="4" fontId="8" fillId="4" borderId="34" xfId="0" applyNumberFormat="1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/>
      <protection hidden="1"/>
    </xf>
    <xf numFmtId="0" fontId="13" fillId="3" borderId="2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 wrapText="1"/>
      <protection hidden="1"/>
    </xf>
    <xf numFmtId="0" fontId="13" fillId="3" borderId="3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0" fillId="3" borderId="16" xfId="0" applyFill="1" applyBorder="1" applyAlignment="1" applyProtection="1">
      <alignment horizontal="center" vertical="center"/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0" fontId="0" fillId="3" borderId="10" xfId="0" applyFill="1" applyBorder="1" applyAlignment="1" applyProtection="1">
      <alignment horizontal="center" vertical="center"/>
      <protection hidden="1"/>
    </xf>
    <xf numFmtId="0" fontId="0" fillId="3" borderId="11" xfId="0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horizontal="center" vertical="center" wrapText="1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3" fontId="0" fillId="3" borderId="16" xfId="0" applyNumberFormat="1" applyFill="1" applyBorder="1" applyAlignment="1" applyProtection="1">
      <alignment horizontal="center" vertical="center"/>
      <protection hidden="1"/>
    </xf>
    <xf numFmtId="0" fontId="0" fillId="3" borderId="25" xfId="0" applyFont="1" applyFill="1" applyBorder="1" applyAlignment="1" applyProtection="1">
      <alignment horizontal="center" vertical="center"/>
      <protection hidden="1"/>
    </xf>
    <xf numFmtId="0" fontId="0" fillId="3" borderId="26" xfId="0" applyFont="1" applyFill="1" applyBorder="1" applyAlignment="1" applyProtection="1">
      <alignment horizontal="center" vertical="center"/>
      <protection hidden="1"/>
    </xf>
    <xf numFmtId="0" fontId="0" fillId="3" borderId="20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 wrapText="1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 wrapText="1"/>
      <protection hidden="1"/>
    </xf>
    <xf numFmtId="0" fontId="0" fillId="3" borderId="20" xfId="0" applyFont="1" applyFill="1" applyBorder="1" applyAlignment="1" applyProtection="1">
      <alignment horizontal="center" vertical="center" wrapText="1"/>
      <protection hidden="1"/>
    </xf>
    <xf numFmtId="0" fontId="0" fillId="3" borderId="10" xfId="0" applyFont="1" applyFill="1" applyBorder="1" applyAlignment="1" applyProtection="1">
      <alignment horizontal="center" vertical="center" wrapText="1"/>
      <protection hidden="1"/>
    </xf>
    <xf numFmtId="0" fontId="0" fillId="3" borderId="24" xfId="0" applyFont="1" applyFill="1" applyBorder="1" applyAlignment="1" applyProtection="1">
      <alignment horizontal="center" vertical="center" wrapText="1"/>
      <protection hidden="1"/>
    </xf>
    <xf numFmtId="0" fontId="0" fillId="3" borderId="13" xfId="0" applyFont="1" applyFill="1" applyBorder="1" applyAlignment="1" applyProtection="1">
      <alignment horizontal="center" vertical="center" wrapText="1"/>
      <protection hidden="1"/>
    </xf>
    <xf numFmtId="0" fontId="0" fillId="3" borderId="22" xfId="0" applyFont="1" applyFill="1" applyBorder="1" applyAlignment="1" applyProtection="1">
      <alignment horizontal="center" vertical="center" wrapText="1"/>
      <protection hidden="1"/>
    </xf>
    <xf numFmtId="0" fontId="0" fillId="3" borderId="21" xfId="0" applyFont="1" applyFill="1" applyBorder="1" applyAlignment="1" applyProtection="1">
      <alignment horizontal="center" vertical="center" wrapText="1"/>
      <protection hidden="1"/>
    </xf>
    <xf numFmtId="0" fontId="0" fillId="3" borderId="0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/>
      <protection hidden="1"/>
    </xf>
    <xf numFmtId="0" fontId="8" fillId="3" borderId="17" xfId="0" applyFont="1" applyFill="1" applyBorder="1" applyAlignment="1" applyProtection="1">
      <alignment horizontal="center" vertical="center"/>
      <protection hidden="1"/>
    </xf>
    <xf numFmtId="0" fontId="8" fillId="3" borderId="14" xfId="0" applyFont="1" applyFill="1" applyBorder="1" applyAlignment="1" applyProtection="1">
      <alignment horizontal="center" vertical="center"/>
      <protection hidden="1"/>
    </xf>
    <xf numFmtId="0" fontId="0" fillId="4" borderId="26" xfId="0" applyFont="1" applyFill="1" applyBorder="1" applyAlignment="1" applyProtection="1">
      <alignment horizontal="center" vertical="center" wrapText="1"/>
      <protection hidden="1"/>
    </xf>
    <xf numFmtId="0" fontId="8" fillId="4" borderId="30" xfId="0" applyFont="1" applyFill="1" applyBorder="1" applyAlignment="1" applyProtection="1">
      <alignment horizontal="center" vertical="center"/>
      <protection hidden="1"/>
    </xf>
    <xf numFmtId="0" fontId="0" fillId="3" borderId="36" xfId="0" applyFont="1" applyFill="1" applyBorder="1" applyAlignment="1" applyProtection="1">
      <alignment horizontal="center" vertical="center"/>
      <protection hidden="1"/>
    </xf>
    <xf numFmtId="1" fontId="0" fillId="3" borderId="26" xfId="0" applyNumberFormat="1" applyFont="1" applyFill="1" applyBorder="1" applyAlignment="1" applyProtection="1">
      <alignment horizontal="center" vertical="center"/>
      <protection hidden="1"/>
    </xf>
    <xf numFmtId="0" fontId="0" fillId="3" borderId="37" xfId="0" applyFill="1" applyBorder="1" applyAlignment="1" applyProtection="1">
      <alignment horizontal="center" vertical="center"/>
      <protection hidden="1"/>
    </xf>
    <xf numFmtId="0" fontId="0" fillId="3" borderId="38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Alignment="1" applyProtection="1">
      <alignment horizontal="center" vertical="center"/>
      <protection hidden="1"/>
    </xf>
    <xf numFmtId="2" fontId="6" fillId="0" borderId="0" xfId="2" applyNumberFormat="1" applyFont="1" applyProtection="1">
      <protection hidden="1"/>
    </xf>
    <xf numFmtId="2" fontId="6" fillId="0" borderId="0" xfId="2" applyNumberFormat="1" applyFont="1" applyAlignment="1" applyProtection="1">
      <alignment horizontal="center" vertical="center"/>
      <protection hidden="1"/>
    </xf>
    <xf numFmtId="4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 wrapText="1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4" borderId="0" xfId="0" applyNumberFormat="1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>
      <alignment horizontal="center" vertical="center"/>
    </xf>
    <xf numFmtId="0" fontId="0" fillId="3" borderId="17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3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0" fillId="3" borderId="24" xfId="0" applyFont="1" applyFill="1" applyBorder="1" applyAlignment="1">
      <alignment horizontal="center" vertical="center"/>
    </xf>
    <xf numFmtId="0" fontId="0" fillId="3" borderId="22" xfId="0" applyFont="1" applyFill="1" applyBorder="1" applyAlignment="1" applyProtection="1">
      <alignment horizontal="center" vertical="center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3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 applyProtection="1">
      <alignment horizontal="center" vertical="center"/>
      <protection hidden="1"/>
    </xf>
    <xf numFmtId="3" fontId="8" fillId="4" borderId="41" xfId="0" applyNumberFormat="1" applyFont="1" applyFill="1" applyBorder="1" applyAlignment="1" applyProtection="1">
      <alignment horizontal="center" vertical="center"/>
      <protection hidden="1"/>
    </xf>
    <xf numFmtId="2" fontId="6" fillId="0" borderId="37" xfId="2" applyNumberFormat="1" applyFont="1" applyBorder="1" applyProtection="1">
      <protection hidden="1"/>
    </xf>
    <xf numFmtId="0" fontId="13" fillId="4" borderId="32" xfId="0" applyFont="1" applyFill="1" applyBorder="1" applyAlignment="1" applyProtection="1">
      <alignment horizontal="center" vertical="center"/>
      <protection hidden="1"/>
    </xf>
    <xf numFmtId="0" fontId="13" fillId="4" borderId="32" xfId="0" applyFont="1" applyFill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/>
      <protection hidden="1"/>
    </xf>
    <xf numFmtId="0" fontId="0" fillId="3" borderId="38" xfId="0" applyFill="1" applyBorder="1" applyProtection="1">
      <protection hidden="1"/>
    </xf>
    <xf numFmtId="0" fontId="0" fillId="3" borderId="42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 wrapText="1"/>
      <protection hidden="1"/>
    </xf>
    <xf numFmtId="0" fontId="8" fillId="3" borderId="7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 wrapText="1"/>
      <protection hidden="1"/>
    </xf>
    <xf numFmtId="0" fontId="0" fillId="3" borderId="11" xfId="0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 applyProtection="1">
      <alignment horizontal="center" vertical="center" wrapText="1"/>
      <protection hidden="1"/>
    </xf>
    <xf numFmtId="0" fontId="0" fillId="3" borderId="37" xfId="0" applyFont="1" applyFill="1" applyBorder="1" applyAlignment="1" applyProtection="1">
      <alignment horizontal="center" vertical="center" wrapText="1"/>
      <protection hidden="1"/>
    </xf>
    <xf numFmtId="0" fontId="13" fillId="4" borderId="43" xfId="0" applyFont="1" applyFill="1" applyBorder="1" applyAlignment="1" applyProtection="1">
      <alignment horizontal="center" vertical="center"/>
      <protection hidden="1"/>
    </xf>
    <xf numFmtId="0" fontId="13" fillId="4" borderId="44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27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19" xfId="0" applyNumberFormat="1" applyFont="1" applyFill="1" applyBorder="1" applyAlignment="1" applyProtection="1">
      <alignment horizontal="center" vertical="center"/>
      <protection hidden="1"/>
    </xf>
    <xf numFmtId="3" fontId="8" fillId="4" borderId="1" xfId="0" applyNumberFormat="1" applyFont="1" applyFill="1" applyBorder="1" applyAlignment="1" applyProtection="1">
      <alignment horizontal="center" vertical="center"/>
      <protection hidden="1"/>
    </xf>
    <xf numFmtId="3" fontId="8" fillId="4" borderId="28" xfId="0" applyNumberFormat="1" applyFont="1" applyFill="1" applyBorder="1" applyAlignment="1" applyProtection="1">
      <alignment horizontal="center" vertical="center"/>
      <protection hidden="1"/>
    </xf>
    <xf numFmtId="4" fontId="8" fillId="4" borderId="46" xfId="0" applyNumberFormat="1" applyFont="1" applyFill="1" applyBorder="1" applyAlignment="1" applyProtection="1">
      <alignment horizontal="center" vertical="center"/>
      <protection hidden="1"/>
    </xf>
    <xf numFmtId="3" fontId="8" fillId="4" borderId="32" xfId="0" applyNumberFormat="1" applyFont="1" applyFill="1" applyBorder="1" applyAlignment="1" applyProtection="1">
      <alignment horizontal="center" vertical="center"/>
      <protection hidden="1"/>
    </xf>
    <xf numFmtId="4" fontId="8" fillId="4" borderId="47" xfId="0" applyNumberFormat="1" applyFont="1" applyFill="1" applyBorder="1" applyAlignment="1" applyProtection="1">
      <alignment horizontal="center" vertical="center"/>
      <protection hidden="1"/>
    </xf>
    <xf numFmtId="3" fontId="8" fillId="4" borderId="18" xfId="0" applyNumberFormat="1" applyFont="1" applyFill="1" applyBorder="1" applyAlignment="1" applyProtection="1">
      <alignment horizontal="center" vertical="center"/>
      <protection hidden="1"/>
    </xf>
    <xf numFmtId="3" fontId="8" fillId="4" borderId="29" xfId="0" applyNumberFormat="1" applyFont="1" applyFill="1" applyBorder="1" applyAlignment="1" applyProtection="1">
      <alignment horizontal="center" vertical="center"/>
      <protection hidden="1"/>
    </xf>
    <xf numFmtId="4" fontId="8" fillId="4" borderId="48" xfId="0" applyNumberFormat="1" applyFont="1" applyFill="1" applyBorder="1" applyAlignment="1" applyProtection="1">
      <alignment horizontal="center" vertical="center"/>
      <protection hidden="1"/>
    </xf>
    <xf numFmtId="3" fontId="8" fillId="4" borderId="12" xfId="0" applyNumberFormat="1" applyFont="1" applyFill="1" applyBorder="1" applyAlignment="1" applyProtection="1">
      <alignment horizontal="center" vertical="center"/>
      <protection hidden="1"/>
    </xf>
    <xf numFmtId="4" fontId="8" fillId="4" borderId="49" xfId="0" applyNumberFormat="1" applyFont="1" applyFill="1" applyBorder="1" applyAlignment="1" applyProtection="1">
      <alignment horizontal="center" vertical="center"/>
      <protection hidden="1"/>
    </xf>
    <xf numFmtId="0" fontId="13" fillId="4" borderId="46" xfId="0" applyFont="1" applyFill="1" applyBorder="1" applyAlignment="1" applyProtection="1">
      <alignment horizontal="center" vertical="center"/>
      <protection hidden="1"/>
    </xf>
    <xf numFmtId="0" fontId="13" fillId="4" borderId="47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13" fillId="4" borderId="48" xfId="0" applyFont="1" applyFill="1" applyBorder="1" applyAlignment="1" applyProtection="1">
      <alignment horizontal="center" vertical="center"/>
      <protection hidden="1"/>
    </xf>
    <xf numFmtId="0" fontId="8" fillId="4" borderId="32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 wrapText="1"/>
      <protection hidden="1"/>
    </xf>
    <xf numFmtId="0" fontId="13" fillId="4" borderId="27" xfId="0" applyFont="1" applyFill="1" applyBorder="1" applyAlignment="1" applyProtection="1">
      <alignment horizontal="center" vertical="center"/>
      <protection hidden="1"/>
    </xf>
    <xf numFmtId="0" fontId="0" fillId="4" borderId="21" xfId="0" applyFont="1" applyFill="1" applyBorder="1" applyAlignment="1" applyProtection="1">
      <alignment horizontal="center" vertical="center" wrapText="1"/>
      <protection hidden="1"/>
    </xf>
    <xf numFmtId="0" fontId="0" fillId="3" borderId="51" xfId="0" applyFont="1" applyFill="1" applyBorder="1" applyAlignment="1" applyProtection="1">
      <alignment horizontal="center" vertical="center"/>
      <protection hidden="1"/>
    </xf>
    <xf numFmtId="0" fontId="13" fillId="4" borderId="27" xfId="0" applyFont="1" applyFill="1" applyBorder="1" applyAlignment="1" applyProtection="1">
      <alignment horizontal="center" vertical="center" wrapText="1"/>
      <protection hidden="1"/>
    </xf>
    <xf numFmtId="164" fontId="13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7" xfId="0" applyFont="1" applyFill="1" applyBorder="1" applyAlignment="1" applyProtection="1">
      <alignment horizontal="center" vertical="center"/>
      <protection hidden="1"/>
    </xf>
    <xf numFmtId="0" fontId="13" fillId="4" borderId="19" xfId="0" applyFont="1" applyFill="1" applyBorder="1" applyAlignment="1" applyProtection="1">
      <alignment horizontal="center" vertical="center" wrapText="1"/>
      <protection hidden="1"/>
    </xf>
    <xf numFmtId="0" fontId="13" fillId="4" borderId="18" xfId="0" applyFont="1" applyFill="1" applyBorder="1" applyAlignment="1" applyProtection="1">
      <alignment horizontal="center" vertical="center" wrapText="1"/>
      <protection hidden="1"/>
    </xf>
    <xf numFmtId="0" fontId="0" fillId="3" borderId="52" xfId="0" applyFill="1" applyBorder="1" applyAlignment="1" applyProtection="1">
      <alignment horizontal="center" vertical="center"/>
      <protection hidden="1"/>
    </xf>
    <xf numFmtId="0" fontId="0" fillId="3" borderId="53" xfId="0" applyFill="1" applyBorder="1" applyAlignment="1" applyProtection="1">
      <alignment horizontal="center" vertical="center"/>
      <protection hidden="1"/>
    </xf>
    <xf numFmtId="164" fontId="0" fillId="3" borderId="39" xfId="0" applyNumberFormat="1" applyFill="1" applyBorder="1" applyAlignment="1" applyProtection="1">
      <alignment horizontal="center" vertical="center"/>
      <protection hidden="1"/>
    </xf>
    <xf numFmtId="164" fontId="0" fillId="3" borderId="38" xfId="0" applyNumberFormat="1" applyFill="1" applyBorder="1" applyAlignment="1" applyProtection="1">
      <alignment horizontal="center" vertical="center"/>
      <protection hidden="1"/>
    </xf>
    <xf numFmtId="164" fontId="0" fillId="3" borderId="37" xfId="0" applyNumberForma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5" borderId="5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 wrapText="1"/>
      <protection hidden="1"/>
    </xf>
    <xf numFmtId="0" fontId="0" fillId="3" borderId="54" xfId="0" applyNumberFormat="1" applyFont="1" applyFill="1" applyBorder="1" applyAlignment="1" applyProtection="1">
      <alignment horizontal="center" vertical="center"/>
      <protection hidden="1"/>
    </xf>
    <xf numFmtId="0" fontId="0" fillId="3" borderId="55" xfId="0" applyNumberFormat="1" applyFont="1" applyFill="1" applyBorder="1" applyAlignment="1" applyProtection="1">
      <alignment horizontal="center" vertical="center"/>
      <protection hidden="1"/>
    </xf>
    <xf numFmtId="1" fontId="8" fillId="4" borderId="19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 vertical="center"/>
    </xf>
    <xf numFmtId="1" fontId="8" fillId="4" borderId="28" xfId="0" applyNumberFormat="1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4" borderId="32" xfId="0" applyNumberFormat="1" applyFont="1" applyFill="1" applyBorder="1" applyAlignment="1">
      <alignment horizontal="center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4" borderId="21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18" xfId="0" applyNumberFormat="1" applyFont="1" applyFill="1" applyBorder="1" applyAlignment="1">
      <alignment horizontal="center" vertical="center"/>
    </xf>
    <xf numFmtId="1" fontId="8" fillId="4" borderId="3" xfId="0" applyNumberFormat="1" applyFont="1" applyFill="1" applyBorder="1" applyAlignment="1">
      <alignment horizontal="center" vertical="center"/>
    </xf>
    <xf numFmtId="1" fontId="8" fillId="4" borderId="29" xfId="0" applyNumberFormat="1" applyFont="1" applyFill="1" applyBorder="1" applyAlignment="1">
      <alignment horizontal="center" vertical="center"/>
    </xf>
    <xf numFmtId="4" fontId="8" fillId="4" borderId="3" xfId="0" applyNumberFormat="1" applyFont="1" applyFill="1" applyBorder="1" applyAlignment="1" applyProtection="1">
      <alignment horizontal="center" vertical="center"/>
      <protection hidden="1"/>
    </xf>
    <xf numFmtId="2" fontId="8" fillId="4" borderId="46" xfId="0" applyNumberFormat="1" applyFont="1" applyFill="1" applyBorder="1" applyAlignment="1">
      <alignment horizontal="center" vertical="center"/>
    </xf>
    <xf numFmtId="2" fontId="8" fillId="4" borderId="3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4" borderId="39" xfId="0" applyFont="1" applyFill="1" applyBorder="1" applyAlignment="1" applyProtection="1">
      <alignment horizontal="center" vertical="center" wrapText="1"/>
      <protection hidden="1"/>
    </xf>
    <xf numFmtId="0" fontId="0" fillId="4" borderId="38" xfId="0" applyFont="1" applyFill="1" applyBorder="1" applyAlignment="1" applyProtection="1">
      <alignment horizontal="center" vertical="center" wrapText="1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/>
      <protection hidden="1"/>
    </xf>
    <xf numFmtId="1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3" fontId="8" fillId="4" borderId="57" xfId="0" applyNumberFormat="1" applyFont="1" applyFill="1" applyBorder="1" applyAlignment="1" applyProtection="1">
      <alignment horizontal="center" vertical="center"/>
      <protection hidden="1"/>
    </xf>
    <xf numFmtId="0" fontId="0" fillId="4" borderId="28" xfId="0" applyFont="1" applyFill="1" applyBorder="1" applyAlignment="1" applyProtection="1">
      <alignment horizontal="center" vertical="center" wrapText="1"/>
      <protection hidden="1"/>
    </xf>
    <xf numFmtId="0" fontId="0" fillId="4" borderId="21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 wrapText="1"/>
      <protection hidden="1"/>
    </xf>
    <xf numFmtId="0" fontId="0" fillId="4" borderId="48" xfId="0" applyFont="1" applyFill="1" applyBorder="1" applyAlignment="1" applyProtection="1">
      <alignment horizontal="center" vertical="center" wrapText="1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 wrapText="1"/>
      <protection hidden="1"/>
    </xf>
    <xf numFmtId="0" fontId="0" fillId="3" borderId="58" xfId="0" applyFont="1" applyFill="1" applyBorder="1" applyAlignment="1" applyProtection="1">
      <alignment horizontal="center" vertical="center"/>
      <protection hidden="1"/>
    </xf>
    <xf numFmtId="3" fontId="8" fillId="4" borderId="43" xfId="0" applyNumberFormat="1" applyFont="1" applyFill="1" applyBorder="1" applyAlignment="1" applyProtection="1">
      <alignment horizontal="center" vertical="center"/>
      <protection hidden="1"/>
    </xf>
    <xf numFmtId="4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13" fillId="4" borderId="31" xfId="0" applyFont="1" applyFill="1" applyBorder="1" applyAlignment="1" applyProtection="1">
      <alignment horizontal="center" vertical="center"/>
      <protection hidden="1"/>
    </xf>
    <xf numFmtId="0" fontId="0" fillId="3" borderId="59" xfId="0" applyFont="1" applyFill="1" applyBorder="1" applyAlignment="1" applyProtection="1">
      <alignment horizontal="center" vertical="center"/>
      <protection hidden="1"/>
    </xf>
    <xf numFmtId="4" fontId="8" fillId="4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30" xfId="0" applyFont="1" applyFill="1" applyBorder="1" applyAlignment="1" applyProtection="1">
      <alignment horizontal="center" vertical="center" wrapText="1"/>
      <protection hidden="1"/>
    </xf>
    <xf numFmtId="0" fontId="13" fillId="0" borderId="4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 wrapText="1"/>
      <protection hidden="1"/>
    </xf>
    <xf numFmtId="0" fontId="6" fillId="0" borderId="4" xfId="1" applyFont="1" applyFill="1" applyBorder="1" applyAlignment="1" applyProtection="1">
      <alignment horizontal="center" vertical="center"/>
      <protection hidden="1"/>
    </xf>
    <xf numFmtId="3" fontId="8" fillId="0" borderId="4" xfId="0" applyNumberFormat="1" applyFont="1" applyFill="1" applyBorder="1" applyAlignment="1" applyProtection="1">
      <alignment horizontal="center" vertical="center"/>
      <protection hidden="1"/>
    </xf>
    <xf numFmtId="4" fontId="8" fillId="0" borderId="8" xfId="0" applyNumberFormat="1" applyFont="1" applyFill="1" applyBorder="1" applyAlignment="1" applyProtection="1">
      <alignment horizontal="center" vertical="center"/>
      <protection hidden="1"/>
    </xf>
    <xf numFmtId="2" fontId="6" fillId="0" borderId="0" xfId="2" applyNumberFormat="1" applyFont="1" applyFill="1" applyProtection="1">
      <protection hidden="1"/>
    </xf>
    <xf numFmtId="2" fontId="6" fillId="0" borderId="0" xfId="2" applyNumberFormat="1" applyFont="1" applyFill="1" applyAlignment="1" applyProtection="1">
      <alignment horizontal="center" vertical="center"/>
      <protection hidden="1"/>
    </xf>
    <xf numFmtId="1" fontId="8" fillId="0" borderId="30" xfId="0" applyNumberFormat="1" applyFont="1" applyFill="1" applyBorder="1" applyAlignment="1" applyProtection="1">
      <alignment horizontal="center" vertical="center"/>
      <protection hidden="1"/>
    </xf>
    <xf numFmtId="0" fontId="8" fillId="0" borderId="33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2" fontId="6" fillId="0" borderId="50" xfId="2" applyNumberFormat="1" applyFont="1" applyBorder="1" applyProtection="1">
      <protection hidden="1"/>
    </xf>
    <xf numFmtId="2" fontId="6" fillId="0" borderId="50" xfId="2" applyNumberFormat="1" applyFont="1" applyBorder="1" applyAlignment="1" applyProtection="1">
      <alignment horizontal="center" vertical="center"/>
      <protection hidden="1"/>
    </xf>
    <xf numFmtId="2" fontId="6" fillId="0" borderId="21" xfId="2" applyNumberFormat="1" applyFont="1" applyBorder="1" applyProtection="1">
      <protection hidden="1"/>
    </xf>
    <xf numFmtId="2" fontId="6" fillId="0" borderId="21" xfId="2" applyNumberFormat="1" applyFont="1" applyBorder="1" applyAlignment="1" applyProtection="1">
      <alignment horizontal="center" vertical="center"/>
      <protection hidden="1"/>
    </xf>
    <xf numFmtId="2" fontId="6" fillId="0" borderId="23" xfId="2" applyNumberFormat="1" applyFont="1" applyBorder="1" applyProtection="1">
      <protection hidden="1"/>
    </xf>
    <xf numFmtId="2" fontId="6" fillId="0" borderId="23" xfId="2" applyNumberFormat="1" applyFont="1" applyBorder="1" applyAlignment="1" applyProtection="1">
      <alignment horizontal="center" vertical="center"/>
      <protection hidden="1"/>
    </xf>
    <xf numFmtId="3" fontId="8" fillId="4" borderId="44" xfId="0" applyNumberFormat="1" applyFont="1" applyFill="1" applyBorder="1" applyAlignment="1" applyProtection="1">
      <alignment horizontal="center" vertical="center"/>
      <protection hidden="1"/>
    </xf>
    <xf numFmtId="3" fontId="8" fillId="4" borderId="27" xfId="0" applyNumberFormat="1" applyFont="1" applyFill="1" applyBorder="1" applyAlignment="1" applyProtection="1">
      <alignment horizontal="center" vertical="center"/>
      <protection hidden="1"/>
    </xf>
    <xf numFmtId="4" fontId="8" fillId="4" borderId="61" xfId="0" applyNumberFormat="1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vertical="center"/>
      <protection hidden="1"/>
    </xf>
    <xf numFmtId="0" fontId="0" fillId="0" borderId="5" xfId="0" applyBorder="1" applyProtection="1">
      <protection hidden="1"/>
    </xf>
    <xf numFmtId="0" fontId="0" fillId="4" borderId="4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 wrapText="1"/>
      <protection hidden="1"/>
    </xf>
    <xf numFmtId="3" fontId="0" fillId="3" borderId="25" xfId="0" applyNumberFormat="1" applyFill="1" applyBorder="1" applyAlignment="1" applyProtection="1">
      <alignment horizontal="center" vertical="center"/>
      <protection hidden="1"/>
    </xf>
    <xf numFmtId="3" fontId="0" fillId="3" borderId="51" xfId="0" applyNumberFormat="1" applyFill="1" applyBorder="1" applyAlignment="1" applyProtection="1">
      <alignment horizontal="center" vertical="center"/>
      <protection hidden="1"/>
    </xf>
    <xf numFmtId="0" fontId="0" fillId="3" borderId="25" xfId="0" applyFill="1" applyBorder="1" applyAlignment="1" applyProtection="1">
      <alignment horizontal="center" vertical="center"/>
      <protection hidden="1"/>
    </xf>
    <xf numFmtId="0" fontId="0" fillId="3" borderId="51" xfId="0" applyFill="1" applyBorder="1" applyAlignment="1" applyProtection="1">
      <alignment horizontal="center" vertical="center"/>
      <protection hidden="1"/>
    </xf>
    <xf numFmtId="164" fontId="0" fillId="3" borderId="36" xfId="0" applyNumberFormat="1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center"/>
      <protection hidden="1"/>
    </xf>
    <xf numFmtId="0" fontId="0" fillId="3" borderId="62" xfId="0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/>
      <protection hidden="1"/>
    </xf>
    <xf numFmtId="164" fontId="0" fillId="3" borderId="62" xfId="0" applyNumberFormat="1" applyFill="1" applyBorder="1" applyAlignment="1" applyProtection="1">
      <alignment horizontal="center" vertical="center"/>
      <protection hidden="1"/>
    </xf>
    <xf numFmtId="3" fontId="0" fillId="3" borderId="52" xfId="0" applyNumberFormat="1" applyFill="1" applyBorder="1" applyAlignment="1" applyProtection="1">
      <alignment horizontal="center" vertical="center"/>
      <protection hidden="1"/>
    </xf>
    <xf numFmtId="3" fontId="0" fillId="3" borderId="55" xfId="0" applyNumberFormat="1" applyFill="1" applyBorder="1" applyAlignment="1" applyProtection="1">
      <alignment horizontal="center" vertical="center"/>
      <protection hidden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1" fillId="3" borderId="5" xfId="1" applyFont="1" applyFill="1" applyBorder="1" applyAlignment="1" applyProtection="1">
      <alignment horizontal="center" vertical="center"/>
      <protection hidden="1"/>
    </xf>
    <xf numFmtId="0" fontId="0" fillId="3" borderId="63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2" fontId="0" fillId="3" borderId="39" xfId="0" applyNumberFormat="1" applyFont="1" applyFill="1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 applyProtection="1">
      <alignment horizontal="center" vertical="center"/>
      <protection hidden="1"/>
    </xf>
    <xf numFmtId="0" fontId="0" fillId="3" borderId="64" xfId="0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>
      <alignment horizontal="center" vertical="center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7" borderId="27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vertical="center"/>
      <protection hidden="1"/>
    </xf>
    <xf numFmtId="0" fontId="0" fillId="7" borderId="5" xfId="0" applyFont="1" applyFill="1" applyBorder="1" applyAlignment="1" applyProtection="1">
      <alignment vertical="center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0" fontId="0" fillId="7" borderId="40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2" xfId="0" applyFont="1" applyFill="1" applyBorder="1" applyAlignment="1" applyProtection="1">
      <alignment horizont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13" fillId="3" borderId="27" xfId="0" applyFont="1" applyFill="1" applyBorder="1" applyAlignment="1" applyProtection="1">
      <alignment horizontal="center" vertical="center"/>
      <protection hidden="1"/>
    </xf>
    <xf numFmtId="0" fontId="0" fillId="3" borderId="26" xfId="0" applyFill="1" applyBorder="1" applyAlignment="1" applyProtection="1">
      <alignment horizontal="center" vertical="center"/>
      <protection hidden="1"/>
    </xf>
    <xf numFmtId="0" fontId="0" fillId="4" borderId="53" xfId="0" applyFill="1" applyBorder="1" applyAlignment="1" applyProtection="1">
      <alignment horizontal="center" vertical="center"/>
      <protection hidden="1"/>
    </xf>
    <xf numFmtId="0" fontId="0" fillId="4" borderId="11" xfId="0" applyFill="1" applyBorder="1" applyAlignment="1" applyProtection="1">
      <alignment horizontal="center" vertical="center"/>
      <protection hidden="1"/>
    </xf>
    <xf numFmtId="0" fontId="0" fillId="4" borderId="14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Protection="1"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13" fillId="3" borderId="12" xfId="0" applyFont="1" applyFill="1" applyBorder="1" applyAlignment="1" applyProtection="1">
      <alignment horizontal="center" vertical="center"/>
      <protection hidden="1"/>
    </xf>
    <xf numFmtId="164" fontId="13" fillId="4" borderId="31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>
      <alignment horizontal="center" vertical="center"/>
    </xf>
    <xf numFmtId="0" fontId="0" fillId="3" borderId="38" xfId="0" applyFont="1" applyFill="1" applyBorder="1" applyAlignment="1">
      <alignment horizontal="center" vertical="center"/>
    </xf>
    <xf numFmtId="0" fontId="6" fillId="3" borderId="1" xfId="1" applyFont="1" applyFill="1" applyBorder="1" applyAlignment="1" applyProtection="1">
      <alignment horizontal="center" vertical="center" wrapText="1"/>
      <protection hidden="1"/>
    </xf>
    <xf numFmtId="0" fontId="6" fillId="3" borderId="3" xfId="1" applyFont="1" applyFill="1" applyBorder="1" applyAlignment="1" applyProtection="1">
      <alignment horizontal="center" vertical="center" wrapText="1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28" xfId="0" applyFill="1" applyBorder="1" applyAlignment="1" applyProtection="1">
      <alignment horizontal="center" vertical="center"/>
      <protection hidden="1"/>
    </xf>
    <xf numFmtId="0" fontId="0" fillId="3" borderId="21" xfId="0" applyFill="1" applyBorder="1" applyAlignment="1" applyProtection="1">
      <alignment horizontal="center" vertical="center"/>
      <protection hidden="1"/>
    </xf>
    <xf numFmtId="0" fontId="0" fillId="3" borderId="29" xfId="0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top"/>
      <protection hidden="1"/>
    </xf>
    <xf numFmtId="0" fontId="15" fillId="0" borderId="57" xfId="0" applyFont="1" applyBorder="1" applyAlignment="1" applyProtection="1">
      <alignment horizontal="center" vertical="top"/>
      <protection hidden="1"/>
    </xf>
    <xf numFmtId="0" fontId="15" fillId="0" borderId="6" xfId="0" applyFont="1" applyBorder="1" applyAlignment="1" applyProtection="1">
      <alignment vertical="top"/>
      <protection hidden="1"/>
    </xf>
    <xf numFmtId="0" fontId="0" fillId="0" borderId="0" xfId="0" applyBorder="1" applyProtection="1">
      <protection hidden="1"/>
    </xf>
    <xf numFmtId="2" fontId="6" fillId="0" borderId="0" xfId="2" applyNumberFormat="1" applyFont="1" applyBorder="1" applyProtection="1">
      <protection hidden="1"/>
    </xf>
    <xf numFmtId="2" fontId="6" fillId="0" borderId="0" xfId="2" applyNumberFormat="1" applyFont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vertical="center"/>
      <protection hidden="1"/>
    </xf>
    <xf numFmtId="0" fontId="8" fillId="0" borderId="8" xfId="0" applyFont="1" applyFill="1" applyBorder="1" applyAlignment="1" applyProtection="1">
      <alignment vertical="center"/>
      <protection hidden="1"/>
    </xf>
    <xf numFmtId="0" fontId="8" fillId="0" borderId="49" xfId="0" applyFont="1" applyFill="1" applyBorder="1" applyAlignment="1" applyProtection="1">
      <alignment vertical="center"/>
      <protection hidden="1"/>
    </xf>
    <xf numFmtId="0" fontId="8" fillId="5" borderId="34" xfId="0" applyFont="1" applyFill="1" applyBorder="1" applyAlignment="1" applyProtection="1">
      <protection hidden="1"/>
    </xf>
    <xf numFmtId="0" fontId="8" fillId="0" borderId="8" xfId="0" applyFont="1" applyFill="1" applyBorder="1" applyAlignment="1" applyProtection="1">
      <alignment vertical="center" wrapText="1"/>
      <protection hidden="1"/>
    </xf>
    <xf numFmtId="0" fontId="8" fillId="0" borderId="8" xfId="0" applyFont="1" applyBorder="1" applyAlignment="1" applyProtection="1">
      <protection hidden="1"/>
    </xf>
    <xf numFmtId="0" fontId="8" fillId="5" borderId="8" xfId="0" applyFont="1" applyFill="1" applyBorder="1" applyAlignment="1" applyProtection="1">
      <protection hidden="1"/>
    </xf>
    <xf numFmtId="2" fontId="6" fillId="0" borderId="30" xfId="2" applyNumberFormat="1" applyFont="1" applyBorder="1" applyProtection="1">
      <protection hidden="1"/>
    </xf>
    <xf numFmtId="2" fontId="6" fillId="0" borderId="30" xfId="2" applyNumberFormat="1" applyFont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Protection="1">
      <protection hidden="1"/>
    </xf>
    <xf numFmtId="0" fontId="0" fillId="3" borderId="3" xfId="0" applyFill="1" applyBorder="1" applyProtection="1">
      <protection hidden="1"/>
    </xf>
    <xf numFmtId="2" fontId="8" fillId="4" borderId="46" xfId="0" applyNumberFormat="1" applyFont="1" applyFill="1" applyBorder="1" applyAlignment="1" applyProtection="1">
      <alignment horizontal="center" vertical="center"/>
      <protection hidden="1"/>
    </xf>
    <xf numFmtId="2" fontId="8" fillId="4" borderId="48" xfId="0" applyNumberFormat="1" applyFont="1" applyFill="1" applyBorder="1" applyAlignment="1" applyProtection="1">
      <alignment horizontal="center" vertical="center"/>
      <protection hidden="1"/>
    </xf>
    <xf numFmtId="0" fontId="7" fillId="8" borderId="5" xfId="0" applyFont="1" applyFill="1" applyBorder="1" applyAlignment="1" applyProtection="1">
      <alignment horizontal="center" vertical="center"/>
      <protection hidden="1"/>
    </xf>
    <xf numFmtId="0" fontId="7" fillId="9" borderId="2" xfId="0" applyFont="1" applyFill="1" applyBorder="1" applyAlignment="1" applyProtection="1">
      <alignment horizontal="center" vertical="center"/>
      <protection hidden="1"/>
    </xf>
    <xf numFmtId="0" fontId="7" fillId="10" borderId="2" xfId="0" applyFont="1" applyFill="1" applyBorder="1" applyAlignment="1" applyProtection="1">
      <alignment horizontal="center" vertical="center"/>
      <protection hidden="1"/>
    </xf>
    <xf numFmtId="0" fontId="7" fillId="11" borderId="2" xfId="0" applyFont="1" applyFill="1" applyBorder="1" applyAlignment="1" applyProtection="1">
      <alignment horizontal="center" vertical="center"/>
      <protection hidden="1"/>
    </xf>
    <xf numFmtId="0" fontId="7" fillId="12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0" fillId="15" borderId="19" xfId="0" applyFont="1" applyFill="1" applyBorder="1" applyAlignment="1" applyProtection="1">
      <alignment horizontal="center" vertical="center" wrapText="1"/>
      <protection hidden="1"/>
    </xf>
    <xf numFmtId="0" fontId="0" fillId="16" borderId="18" xfId="0" applyFont="1" applyFill="1" applyBorder="1" applyAlignment="1" applyProtection="1">
      <alignment horizontal="center" vertical="center" wrapText="1"/>
      <protection hidden="1"/>
    </xf>
    <xf numFmtId="0" fontId="0" fillId="11" borderId="4" xfId="0" applyFont="1" applyFill="1" applyBorder="1" applyAlignment="1" applyProtection="1">
      <alignment horizontal="center" vertical="center" wrapText="1"/>
      <protection hidden="1"/>
    </xf>
    <xf numFmtId="0" fontId="7" fillId="17" borderId="27" xfId="0" applyFont="1" applyFill="1" applyBorder="1" applyAlignment="1" applyProtection="1">
      <alignment horizontal="center" vertical="center"/>
      <protection hidden="1"/>
    </xf>
    <xf numFmtId="0" fontId="7" fillId="16" borderId="2" xfId="0" applyFont="1" applyFill="1" applyBorder="1" applyAlignment="1" applyProtection="1">
      <alignment horizontal="center" vertical="center"/>
      <protection hidden="1"/>
    </xf>
    <xf numFmtId="0" fontId="7" fillId="18" borderId="2" xfId="0" applyFont="1" applyFill="1" applyBorder="1" applyAlignment="1" applyProtection="1">
      <alignment horizontal="center" vertical="center"/>
      <protection hidden="1"/>
    </xf>
    <xf numFmtId="0" fontId="7" fillId="14" borderId="1" xfId="0" applyFont="1" applyFill="1" applyBorder="1" applyAlignment="1" applyProtection="1">
      <alignment horizontal="center" vertical="center"/>
      <protection hidden="1"/>
    </xf>
    <xf numFmtId="0" fontId="7" fillId="16" borderId="3" xfId="0" applyFont="1" applyFill="1" applyBorder="1" applyAlignment="1" applyProtection="1">
      <alignment horizontal="center" vertical="center"/>
      <protection hidden="1"/>
    </xf>
    <xf numFmtId="0" fontId="7" fillId="4" borderId="3" xfId="0" applyFont="1" applyFill="1" applyBorder="1" applyAlignment="1" applyProtection="1">
      <alignment horizontal="center" vertical="center"/>
      <protection hidden="1"/>
    </xf>
    <xf numFmtId="0" fontId="8" fillId="19" borderId="15" xfId="0" applyFont="1" applyFill="1" applyBorder="1" applyAlignment="1" applyProtection="1">
      <alignment horizontal="center" vertical="center"/>
      <protection hidden="1"/>
    </xf>
    <xf numFmtId="0" fontId="0" fillId="20" borderId="29" xfId="0" applyFont="1" applyFill="1" applyBorder="1" applyAlignment="1" applyProtection="1">
      <alignment horizontal="center" vertical="center"/>
      <protection hidden="1"/>
    </xf>
    <xf numFmtId="0" fontId="16" fillId="20" borderId="28" xfId="0" applyFont="1" applyFill="1" applyBorder="1" applyProtection="1">
      <protection hidden="1"/>
    </xf>
    <xf numFmtId="0" fontId="10" fillId="12" borderId="21" xfId="0" applyFont="1" applyFill="1" applyBorder="1" applyAlignment="1" applyProtection="1">
      <alignment horizontal="center" vertical="center"/>
      <protection hidden="1"/>
    </xf>
    <xf numFmtId="0" fontId="0" fillId="13" borderId="29" xfId="0" applyFont="1" applyFill="1" applyBorder="1" applyAlignment="1" applyProtection="1">
      <alignment horizontal="center" vertical="center"/>
      <protection hidden="1"/>
    </xf>
    <xf numFmtId="0" fontId="0" fillId="15" borderId="28" xfId="0" applyFont="1" applyFill="1" applyBorder="1" applyAlignment="1" applyProtection="1">
      <alignment horizontal="center" vertical="center"/>
      <protection hidden="1"/>
    </xf>
    <xf numFmtId="0" fontId="10" fillId="19" borderId="40" xfId="0" applyFont="1" applyFill="1" applyBorder="1" applyAlignment="1" applyProtection="1">
      <alignment horizontal="center" vertical="center"/>
      <protection hidden="1"/>
    </xf>
    <xf numFmtId="0" fontId="0" fillId="19" borderId="3" xfId="0" applyFont="1" applyFill="1" applyBorder="1" applyAlignment="1" applyProtection="1">
      <alignment horizontal="center" vertical="center"/>
      <protection hidden="1"/>
    </xf>
    <xf numFmtId="0" fontId="0" fillId="16" borderId="2" xfId="0" applyFont="1" applyFill="1" applyBorder="1" applyAlignment="1" applyProtection="1">
      <alignment horizontal="center" vertical="center"/>
      <protection hidden="1"/>
    </xf>
    <xf numFmtId="0" fontId="0" fillId="21" borderId="33" xfId="0" applyFont="1" applyFill="1" applyBorder="1" applyAlignment="1" applyProtection="1">
      <alignment horizontal="center" vertical="center"/>
      <protection hidden="1"/>
    </xf>
    <xf numFmtId="0" fontId="8" fillId="22" borderId="7" xfId="0" applyFont="1" applyFill="1" applyBorder="1" applyAlignment="1" applyProtection="1">
      <alignment horizontal="center" vertical="center"/>
      <protection hidden="1"/>
    </xf>
    <xf numFmtId="0" fontId="8" fillId="16" borderId="19" xfId="0" applyFont="1" applyFill="1" applyBorder="1" applyAlignment="1" applyProtection="1">
      <alignment horizontal="center" vertical="center"/>
      <protection hidden="1"/>
    </xf>
    <xf numFmtId="0" fontId="17" fillId="23" borderId="32" xfId="0" applyFont="1" applyFill="1" applyBorder="1" applyAlignment="1" applyProtection="1">
      <alignment horizontal="center" vertical="center"/>
      <protection hidden="1"/>
    </xf>
    <xf numFmtId="0" fontId="8" fillId="5" borderId="7" xfId="0" applyFont="1" applyFill="1" applyBorder="1" applyAlignment="1" applyProtection="1">
      <alignment horizontal="center" vertical="center"/>
      <protection hidden="1"/>
    </xf>
    <xf numFmtId="0" fontId="8" fillId="5" borderId="1" xfId="0" applyFont="1" applyFill="1" applyBorder="1" applyAlignment="1" applyProtection="1">
      <alignment horizontal="center" vertical="center"/>
      <protection hidden="1"/>
    </xf>
    <xf numFmtId="0" fontId="8" fillId="18" borderId="3" xfId="0" applyFont="1" applyFill="1" applyBorder="1" applyAlignment="1" applyProtection="1">
      <alignment horizontal="center" vertical="center"/>
      <protection hidden="1"/>
    </xf>
    <xf numFmtId="0" fontId="8" fillId="18" borderId="5" xfId="0" applyFont="1" applyFill="1" applyBorder="1" applyAlignment="1" applyProtection="1">
      <alignment horizontal="center" vertical="center"/>
      <protection hidden="1"/>
    </xf>
    <xf numFmtId="0" fontId="0" fillId="24" borderId="27" xfId="0" applyFont="1" applyFill="1" applyBorder="1" applyAlignment="1" applyProtection="1">
      <alignment horizontal="center" vertical="center"/>
      <protection hidden="1"/>
    </xf>
    <xf numFmtId="0" fontId="0" fillId="24" borderId="12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0" fillId="0" borderId="36" xfId="0" applyFont="1" applyFill="1" applyBorder="1" applyAlignment="1" applyProtection="1">
      <alignment horizontal="center" vertical="center" wrapText="1"/>
      <protection hidden="1"/>
    </xf>
    <xf numFmtId="0" fontId="0" fillId="0" borderId="64" xfId="0" applyFont="1" applyFill="1" applyBorder="1" applyAlignment="1" applyProtection="1">
      <alignment horizontal="center" vertical="center" wrapText="1"/>
      <protection hidden="1"/>
    </xf>
    <xf numFmtId="0" fontId="0" fillId="0" borderId="62" xfId="0" applyFill="1" applyBorder="1" applyProtection="1">
      <protection hidden="1"/>
    </xf>
    <xf numFmtId="0" fontId="0" fillId="0" borderId="37" xfId="0" applyFill="1" applyBorder="1" applyProtection="1">
      <protection hidden="1"/>
    </xf>
    <xf numFmtId="0" fontId="0" fillId="0" borderId="38" xfId="0" applyFill="1" applyBorder="1" applyProtection="1">
      <protection hidden="1"/>
    </xf>
    <xf numFmtId="0" fontId="0" fillId="0" borderId="7" xfId="0" applyFont="1" applyFill="1" applyBorder="1" applyAlignment="1" applyProtection="1">
      <alignment horizontal="center" vertical="center" wrapText="1"/>
      <protection hidden="1"/>
    </xf>
    <xf numFmtId="0" fontId="0" fillId="0" borderId="50" xfId="0" applyFont="1" applyFill="1" applyBorder="1" applyAlignment="1" applyProtection="1">
      <alignment horizontal="center" vertical="center" wrapText="1"/>
      <protection hidden="1"/>
    </xf>
    <xf numFmtId="0" fontId="0" fillId="0" borderId="21" xfId="0" applyFont="1" applyFill="1" applyBorder="1" applyAlignment="1" applyProtection="1">
      <alignment horizontal="center" vertical="center" wrapText="1"/>
      <protection hidden="1"/>
    </xf>
    <xf numFmtId="0" fontId="0" fillId="0" borderId="23" xfId="0" applyFont="1" applyFill="1" applyBorder="1" applyAlignment="1" applyProtection="1">
      <alignment horizontal="center" vertical="center" wrapText="1"/>
      <protection hidden="1"/>
    </xf>
    <xf numFmtId="0" fontId="0" fillId="0" borderId="29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protection hidden="1"/>
    </xf>
    <xf numFmtId="0" fontId="19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20" fillId="0" borderId="0" xfId="0" applyFont="1" applyAlignment="1" applyProtection="1">
      <protection hidden="1"/>
    </xf>
    <xf numFmtId="0" fontId="0" fillId="0" borderId="15" xfId="0" applyFont="1" applyFill="1" applyBorder="1" applyAlignment="1" applyProtection="1">
      <alignment horizontal="center" vertical="center"/>
      <protection hidden="1"/>
    </xf>
    <xf numFmtId="0" fontId="0" fillId="0" borderId="15" xfId="0" applyFont="1" applyFill="1" applyBorder="1" applyAlignment="1" applyProtection="1">
      <alignment horizontal="center" vertical="center" wrapText="1"/>
      <protection hidden="1"/>
    </xf>
    <xf numFmtId="0" fontId="13" fillId="0" borderId="15" xfId="0" applyFont="1" applyFill="1" applyBorder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vertical="top"/>
      <protection hidden="1"/>
    </xf>
    <xf numFmtId="0" fontId="21" fillId="0" borderId="6" xfId="0" applyFont="1" applyBorder="1" applyAlignment="1" applyProtection="1">
      <alignment vertical="top"/>
      <protection hidden="1"/>
    </xf>
    <xf numFmtId="0" fontId="21" fillId="0" borderId="0" xfId="0" applyFont="1" applyAlignment="1" applyProtection="1">
      <alignment vertical="top"/>
      <protection hidden="1"/>
    </xf>
    <xf numFmtId="1" fontId="21" fillId="0" borderId="0" xfId="0" applyNumberFormat="1" applyFont="1" applyAlignment="1" applyProtection="1">
      <alignment horizontal="center" vertical="top"/>
      <protection hidden="1"/>
    </xf>
    <xf numFmtId="0" fontId="0" fillId="0" borderId="39" xfId="0" applyFill="1" applyBorder="1" applyProtection="1">
      <protection hidden="1"/>
    </xf>
    <xf numFmtId="0" fontId="21" fillId="0" borderId="0" xfId="0" applyFont="1" applyBorder="1" applyAlignment="1" applyProtection="1">
      <alignment horizontal="center" vertical="top"/>
      <protection hidden="1"/>
    </xf>
    <xf numFmtId="0" fontId="0" fillId="4" borderId="19" xfId="0" applyFont="1" applyFill="1" applyBorder="1" applyAlignment="1" applyProtection="1">
      <alignment horizontal="center" vertical="center"/>
      <protection hidden="1"/>
    </xf>
    <xf numFmtId="0" fontId="0" fillId="4" borderId="18" xfId="0" applyFont="1" applyFill="1" applyBorder="1" applyAlignment="1" applyProtection="1">
      <alignment horizontal="center" vertical="center"/>
      <protection hidden="1"/>
    </xf>
    <xf numFmtId="0" fontId="13" fillId="4" borderId="9" xfId="0" applyFont="1" applyFill="1" applyBorder="1" applyAlignment="1" applyProtection="1">
      <alignment vertical="center" wrapText="1"/>
      <protection hidden="1"/>
    </xf>
    <xf numFmtId="0" fontId="8" fillId="5" borderId="2" xfId="0" applyFont="1" applyFill="1" applyBorder="1" applyAlignment="1" applyProtection="1">
      <alignment horizontal="center" vertical="center"/>
      <protection hidden="1"/>
    </xf>
    <xf numFmtId="0" fontId="8" fillId="5" borderId="3" xfId="0" applyFont="1" applyFill="1" applyBorder="1" applyAlignment="1" applyProtection="1">
      <alignment horizontal="center" vertical="center"/>
      <protection hidden="1"/>
    </xf>
    <xf numFmtId="0" fontId="7" fillId="8" borderId="1" xfId="0" applyFont="1" applyFill="1" applyBorder="1" applyAlignment="1" applyProtection="1">
      <alignment horizontal="center" vertical="center"/>
      <protection hidden="1"/>
    </xf>
    <xf numFmtId="0" fontId="7" fillId="4" borderId="5" xfId="0" applyFont="1" applyFill="1" applyBorder="1" applyAlignment="1" applyProtection="1">
      <alignment horizontal="center" vertical="center"/>
      <protection hidden="1"/>
    </xf>
    <xf numFmtId="0" fontId="7" fillId="4" borderId="9" xfId="0" applyFont="1" applyFill="1" applyBorder="1" applyAlignment="1" applyProtection="1">
      <alignment horizontal="center" vertical="center"/>
      <protection hidden="1"/>
    </xf>
    <xf numFmtId="0" fontId="0" fillId="7" borderId="31" xfId="0" applyFont="1" applyFill="1" applyBorder="1" applyAlignment="1" applyProtection="1">
      <alignment horizontal="center" vertical="center" wrapText="1"/>
      <protection hidden="1"/>
    </xf>
    <xf numFmtId="0" fontId="0" fillId="4" borderId="0" xfId="0" applyFont="1" applyFill="1" applyBorder="1" applyAlignment="1" applyProtection="1">
      <alignment horizontal="center" vertical="center" wrapText="1"/>
      <protection hidden="1"/>
    </xf>
    <xf numFmtId="0" fontId="13" fillId="4" borderId="46" xfId="0" applyFont="1" applyFill="1" applyBorder="1" applyAlignment="1" applyProtection="1">
      <alignment horizontal="center" vertical="center" wrapText="1"/>
      <protection hidden="1"/>
    </xf>
    <xf numFmtId="0" fontId="0" fillId="7" borderId="30" xfId="0" applyFont="1" applyFill="1" applyBorder="1" applyAlignment="1" applyProtection="1">
      <alignment horizontal="center" vertical="center" wrapText="1"/>
      <protection hidden="1"/>
    </xf>
    <xf numFmtId="0" fontId="23" fillId="0" borderId="15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9" fontId="6" fillId="0" borderId="0" xfId="2" applyNumberFormat="1" applyFont="1" applyProtection="1">
      <protection hidden="1"/>
    </xf>
    <xf numFmtId="0" fontId="0" fillId="5" borderId="0" xfId="0" applyFill="1" applyProtection="1"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8" fillId="5" borderId="7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3" borderId="21" xfId="0" applyFont="1" applyFill="1" applyBorder="1" applyAlignment="1" applyProtection="1">
      <alignment horizontal="center" vertical="center"/>
      <protection hidden="1"/>
    </xf>
    <xf numFmtId="0" fontId="8" fillId="3" borderId="85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13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Protection="1">
      <protection hidden="1"/>
    </xf>
    <xf numFmtId="0" fontId="25" fillId="0" borderId="5" xfId="0" applyFont="1" applyBorder="1" applyAlignment="1" applyProtection="1">
      <alignment horizontal="center" vertical="center" wrapText="1"/>
      <protection hidden="1"/>
    </xf>
    <xf numFmtId="0" fontId="25" fillId="0" borderId="4" xfId="0" applyFont="1" applyBorder="1" applyAlignment="1" applyProtection="1">
      <alignment horizontal="center" vertical="center" wrapText="1"/>
      <protection hidden="1"/>
    </xf>
    <xf numFmtId="0" fontId="25" fillId="0" borderId="7" xfId="0" applyFont="1" applyBorder="1" applyAlignment="1" applyProtection="1">
      <alignment horizontal="center" vertical="center" wrapText="1"/>
      <protection hidden="1"/>
    </xf>
    <xf numFmtId="0" fontId="24" fillId="3" borderId="8" xfId="0" applyFont="1" applyFill="1" applyBorder="1" applyAlignment="1" applyProtection="1">
      <alignment horizontal="center" vertical="center"/>
      <protection hidden="1"/>
    </xf>
    <xf numFmtId="0" fontId="24" fillId="3" borderId="5" xfId="0" applyFont="1" applyFill="1" applyBorder="1" applyAlignment="1" applyProtection="1">
      <alignment horizontal="center" vertical="center"/>
      <protection hidden="1"/>
    </xf>
    <xf numFmtId="0" fontId="24" fillId="3" borderId="36" xfId="0" applyFont="1" applyFill="1" applyBorder="1" applyAlignment="1" applyProtection="1">
      <alignment horizontal="center" vertical="center"/>
      <protection hidden="1"/>
    </xf>
    <xf numFmtId="0" fontId="24" fillId="3" borderId="25" xfId="0" applyFont="1" applyFill="1" applyBorder="1" applyAlignment="1" applyProtection="1">
      <alignment horizontal="center" vertical="center"/>
      <protection hidden="1"/>
    </xf>
    <xf numFmtId="3" fontId="25" fillId="4" borderId="5" xfId="0" applyNumberFormat="1" applyFont="1" applyFill="1" applyBorder="1" applyAlignment="1" applyProtection="1">
      <alignment horizontal="center" vertical="center"/>
      <protection hidden="1"/>
    </xf>
    <xf numFmtId="3" fontId="25" fillId="4" borderId="1" xfId="0" applyNumberFormat="1" applyFont="1" applyFill="1" applyBorder="1" applyAlignment="1" applyProtection="1">
      <alignment horizontal="center" vertical="center"/>
      <protection hidden="1"/>
    </xf>
    <xf numFmtId="0" fontId="24" fillId="3" borderId="1" xfId="0" applyFont="1" applyFill="1" applyBorder="1" applyAlignment="1" applyProtection="1">
      <alignment horizontal="center" vertical="center"/>
      <protection hidden="1"/>
    </xf>
    <xf numFmtId="3" fontId="25" fillId="4" borderId="40" xfId="0" applyNumberFormat="1" applyFont="1" applyFill="1" applyBorder="1" applyAlignment="1" applyProtection="1">
      <alignment horizontal="center" vertical="center"/>
      <protection hidden="1"/>
    </xf>
    <xf numFmtId="0" fontId="24" fillId="3" borderId="3" xfId="0" applyFont="1" applyFill="1" applyBorder="1" applyAlignment="1" applyProtection="1">
      <alignment horizontal="center" vertical="center"/>
      <protection hidden="1"/>
    </xf>
    <xf numFmtId="3" fontId="25" fillId="4" borderId="9" xfId="0" applyNumberFormat="1" applyFont="1" applyFill="1" applyBorder="1" applyAlignment="1" applyProtection="1">
      <alignment horizontal="center" vertical="center"/>
      <protection hidden="1"/>
    </xf>
    <xf numFmtId="3" fontId="25" fillId="4" borderId="2" xfId="0" applyNumberFormat="1" applyFont="1" applyFill="1" applyBorder="1" applyAlignment="1" applyProtection="1">
      <alignment horizontal="center" vertical="center"/>
      <protection hidden="1"/>
    </xf>
    <xf numFmtId="0" fontId="24" fillId="3" borderId="64" xfId="0" applyFont="1" applyFill="1" applyBorder="1" applyAlignment="1" applyProtection="1">
      <alignment horizontal="center" vertical="center"/>
      <protection hidden="1"/>
    </xf>
    <xf numFmtId="164" fontId="24" fillId="3" borderId="36" xfId="0" applyNumberFormat="1" applyFont="1" applyFill="1" applyBorder="1" applyAlignment="1" applyProtection="1">
      <alignment horizontal="center" vertical="center"/>
      <protection hidden="1"/>
    </xf>
    <xf numFmtId="3" fontId="24" fillId="3" borderId="25" xfId="0" applyNumberFormat="1" applyFont="1" applyFill="1" applyBorder="1" applyAlignment="1" applyProtection="1">
      <alignment horizontal="center" vertical="center"/>
      <protection hidden="1"/>
    </xf>
    <xf numFmtId="164" fontId="24" fillId="3" borderId="39" xfId="0" applyNumberFormat="1" applyFont="1" applyFill="1" applyBorder="1" applyAlignment="1" applyProtection="1">
      <alignment horizontal="center" vertical="center"/>
      <protection hidden="1"/>
    </xf>
    <xf numFmtId="3" fontId="24" fillId="3" borderId="16" xfId="0" applyNumberFormat="1" applyFont="1" applyFill="1" applyBorder="1" applyAlignment="1" applyProtection="1">
      <alignment horizontal="center" vertical="center"/>
      <protection hidden="1"/>
    </xf>
    <xf numFmtId="3" fontId="24" fillId="3" borderId="17" xfId="0" applyNumberFormat="1" applyFont="1" applyFill="1" applyBorder="1" applyAlignment="1" applyProtection="1">
      <alignment horizontal="center" vertical="center"/>
      <protection hidden="1"/>
    </xf>
    <xf numFmtId="164" fontId="24" fillId="3" borderId="37" xfId="0" applyNumberFormat="1" applyFont="1" applyFill="1" applyBorder="1" applyAlignment="1" applyProtection="1">
      <alignment horizontal="center" vertical="center"/>
      <protection hidden="1"/>
    </xf>
    <xf numFmtId="3" fontId="24" fillId="3" borderId="10" xfId="0" applyNumberFormat="1" applyFont="1" applyFill="1" applyBorder="1" applyAlignment="1" applyProtection="1">
      <alignment horizontal="center" vertical="center"/>
      <protection hidden="1"/>
    </xf>
    <xf numFmtId="3" fontId="24" fillId="3" borderId="11" xfId="0" applyNumberFormat="1" applyFont="1" applyFill="1" applyBorder="1" applyAlignment="1" applyProtection="1">
      <alignment horizontal="center" vertical="center"/>
      <protection hidden="1"/>
    </xf>
    <xf numFmtId="164" fontId="24" fillId="3" borderId="38" xfId="0" applyNumberFormat="1" applyFont="1" applyFill="1" applyBorder="1" applyAlignment="1" applyProtection="1">
      <alignment horizontal="center" vertical="center"/>
      <protection hidden="1"/>
    </xf>
    <xf numFmtId="3" fontId="24" fillId="3" borderId="13" xfId="0" applyNumberFormat="1" applyFont="1" applyFill="1" applyBorder="1" applyAlignment="1" applyProtection="1">
      <alignment horizontal="center" vertical="center"/>
      <protection hidden="1"/>
    </xf>
    <xf numFmtId="3" fontId="24" fillId="3" borderId="14" xfId="0" applyNumberFormat="1" applyFont="1" applyFill="1" applyBorder="1" applyAlignment="1" applyProtection="1">
      <alignment horizontal="center" vertical="center"/>
      <protection hidden="1"/>
    </xf>
    <xf numFmtId="164" fontId="24" fillId="3" borderId="64" xfId="0" applyNumberFormat="1" applyFont="1" applyFill="1" applyBorder="1" applyAlignment="1" applyProtection="1">
      <alignment horizontal="center" vertical="center"/>
      <protection hidden="1"/>
    </xf>
    <xf numFmtId="3" fontId="24" fillId="3" borderId="26" xfId="0" applyNumberFormat="1" applyFont="1" applyFill="1" applyBorder="1" applyAlignment="1" applyProtection="1">
      <alignment horizontal="center" vertical="center"/>
      <protection hidden="1"/>
    </xf>
    <xf numFmtId="164" fontId="24" fillId="3" borderId="93" xfId="0" applyNumberFormat="1" applyFont="1" applyFill="1" applyBorder="1" applyAlignment="1" applyProtection="1">
      <alignment horizontal="center" vertical="center"/>
      <protection hidden="1"/>
    </xf>
    <xf numFmtId="3" fontId="24" fillId="3" borderId="52" xfId="0" applyNumberFormat="1" applyFont="1" applyFill="1" applyBorder="1" applyAlignment="1" applyProtection="1">
      <alignment horizontal="center" vertical="center"/>
      <protection hidden="1"/>
    </xf>
    <xf numFmtId="3" fontId="24" fillId="3" borderId="53" xfId="0" applyNumberFormat="1" applyFont="1" applyFill="1" applyBorder="1" applyAlignment="1" applyProtection="1">
      <alignment horizontal="center" vertical="center"/>
      <protection hidden="1"/>
    </xf>
    <xf numFmtId="164" fontId="24" fillId="3" borderId="88" xfId="0" applyNumberFormat="1" applyFont="1" applyFill="1" applyBorder="1" applyAlignment="1" applyProtection="1">
      <alignment horizontal="center" vertical="center"/>
      <protection hidden="1"/>
    </xf>
    <xf numFmtId="164" fontId="24" fillId="3" borderId="86" xfId="0" applyNumberFormat="1" applyFont="1" applyFill="1" applyBorder="1" applyAlignment="1" applyProtection="1">
      <alignment horizontal="center" vertical="center"/>
      <protection hidden="1"/>
    </xf>
    <xf numFmtId="0" fontId="29" fillId="3" borderId="5" xfId="1" applyFont="1" applyFill="1" applyBorder="1" applyAlignment="1" applyProtection="1">
      <alignment horizontal="center" vertical="center"/>
      <protection hidden="1"/>
    </xf>
    <xf numFmtId="0" fontId="24" fillId="3" borderId="26" xfId="0" applyFont="1" applyFill="1" applyBorder="1" applyAlignment="1" applyProtection="1">
      <alignment horizontal="center" vertical="center"/>
      <protection hidden="1"/>
    </xf>
    <xf numFmtId="0" fontId="24" fillId="3" borderId="12" xfId="0" applyFont="1" applyFill="1" applyBorder="1" applyAlignment="1" applyProtection="1">
      <alignment horizontal="center" vertical="center"/>
      <protection hidden="1"/>
    </xf>
    <xf numFmtId="0" fontId="24" fillId="3" borderId="63" xfId="0" applyFont="1" applyFill="1" applyBorder="1" applyAlignment="1" applyProtection="1">
      <alignment horizontal="center" vertical="center"/>
      <protection hidden="1"/>
    </xf>
    <xf numFmtId="0" fontId="24" fillId="3" borderId="42" xfId="0" applyFont="1" applyFill="1" applyBorder="1" applyAlignment="1" applyProtection="1">
      <alignment horizontal="center" vertical="center"/>
      <protection hidden="1"/>
    </xf>
    <xf numFmtId="2" fontId="24" fillId="3" borderId="39" xfId="0" applyNumberFormat="1" applyFont="1" applyFill="1" applyBorder="1" applyAlignment="1" applyProtection="1">
      <alignment horizontal="center" vertical="center"/>
      <protection hidden="1"/>
    </xf>
    <xf numFmtId="0" fontId="24" fillId="3" borderId="37" xfId="0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/>
    </xf>
    <xf numFmtId="1" fontId="25" fillId="4" borderId="1" xfId="0" applyNumberFormat="1" applyFont="1" applyFill="1" applyBorder="1" applyAlignment="1">
      <alignment horizontal="center" vertical="center"/>
    </xf>
    <xf numFmtId="0" fontId="24" fillId="3" borderId="0" xfId="0" applyFont="1" applyFill="1" applyBorder="1" applyAlignment="1" applyProtection="1">
      <alignment horizontal="center" vertical="center" wrapText="1"/>
      <protection hidden="1"/>
    </xf>
    <xf numFmtId="0" fontId="24" fillId="3" borderId="39" xfId="0" applyFont="1" applyFill="1" applyBorder="1" applyAlignment="1">
      <alignment horizontal="center" vertical="center"/>
    </xf>
    <xf numFmtId="0" fontId="24" fillId="3" borderId="16" xfId="0" applyFont="1" applyFill="1" applyBorder="1" applyAlignment="1">
      <alignment horizontal="center" vertical="center"/>
    </xf>
    <xf numFmtId="0" fontId="24" fillId="3" borderId="17" xfId="0" applyFont="1" applyFill="1" applyBorder="1" applyAlignment="1">
      <alignment horizontal="center" vertical="center"/>
    </xf>
    <xf numFmtId="0" fontId="24" fillId="3" borderId="38" xfId="0" applyFont="1" applyFill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4" fillId="3" borderId="1" xfId="1" applyFont="1" applyFill="1" applyBorder="1" applyAlignment="1" applyProtection="1">
      <alignment horizontal="center" vertical="center" wrapText="1"/>
      <protection hidden="1"/>
    </xf>
    <xf numFmtId="0" fontId="24" fillId="3" borderId="2" xfId="1" applyFont="1" applyFill="1" applyBorder="1" applyAlignment="1" applyProtection="1">
      <alignment horizontal="center" vertical="center" wrapText="1"/>
      <protection hidden="1"/>
    </xf>
    <xf numFmtId="0" fontId="24" fillId="3" borderId="2" xfId="0" applyFont="1" applyFill="1" applyBorder="1" applyAlignment="1" applyProtection="1">
      <alignment horizontal="center" vertical="center"/>
      <protection hidden="1"/>
    </xf>
    <xf numFmtId="0" fontId="24" fillId="3" borderId="3" xfId="1" applyFont="1" applyFill="1" applyBorder="1" applyAlignment="1" applyProtection="1">
      <alignment horizontal="center" vertical="center" wrapText="1"/>
      <protection hidden="1"/>
    </xf>
    <xf numFmtId="0" fontId="24" fillId="3" borderId="1" xfId="0" applyFont="1" applyFill="1" applyBorder="1" applyAlignment="1" applyProtection="1">
      <alignment horizontal="center" vertical="center" wrapText="1"/>
      <protection hidden="1"/>
    </xf>
    <xf numFmtId="0" fontId="24" fillId="3" borderId="39" xfId="0" applyFont="1" applyFill="1" applyBorder="1" applyAlignment="1" applyProtection="1">
      <alignment horizontal="center" vertical="center" wrapText="1"/>
      <protection hidden="1"/>
    </xf>
    <xf numFmtId="0" fontId="24" fillId="3" borderId="16" xfId="0" applyFont="1" applyFill="1" applyBorder="1" applyAlignment="1" applyProtection="1">
      <alignment horizontal="center" vertical="center" wrapText="1"/>
      <protection hidden="1"/>
    </xf>
    <xf numFmtId="0" fontId="24" fillId="3" borderId="2" xfId="0" applyFont="1" applyFill="1" applyBorder="1" applyAlignment="1" applyProtection="1">
      <alignment horizontal="center" vertical="center" wrapText="1"/>
      <protection hidden="1"/>
    </xf>
    <xf numFmtId="0" fontId="24" fillId="3" borderId="37" xfId="0" applyFont="1" applyFill="1" applyBorder="1" applyAlignment="1" applyProtection="1">
      <alignment horizontal="center" vertical="center" wrapText="1"/>
      <protection hidden="1"/>
    </xf>
    <xf numFmtId="0" fontId="24" fillId="3" borderId="10" xfId="0" applyFont="1" applyFill="1" applyBorder="1" applyAlignment="1" applyProtection="1">
      <alignment horizontal="center" vertical="center" wrapText="1"/>
      <protection hidden="1"/>
    </xf>
    <xf numFmtId="0" fontId="24" fillId="3" borderId="3" xfId="0" applyFont="1" applyFill="1" applyBorder="1" applyAlignment="1" applyProtection="1">
      <alignment horizontal="center" vertical="center" wrapText="1"/>
      <protection hidden="1"/>
    </xf>
    <xf numFmtId="0" fontId="24" fillId="3" borderId="38" xfId="0" applyFont="1" applyFill="1" applyBorder="1" applyAlignment="1" applyProtection="1">
      <alignment horizontal="center" vertical="center" wrapText="1"/>
      <protection hidden="1"/>
    </xf>
    <xf numFmtId="0" fontId="24" fillId="3" borderId="13" xfId="0" applyFont="1" applyFill="1" applyBorder="1" applyAlignment="1" applyProtection="1">
      <alignment horizontal="center" vertical="center" wrapText="1"/>
      <protection hidden="1"/>
    </xf>
    <xf numFmtId="0" fontId="24" fillId="3" borderId="9" xfId="0" applyFont="1" applyFill="1" applyBorder="1" applyAlignment="1" applyProtection="1">
      <alignment horizontal="center" vertical="center" wrapText="1"/>
      <protection hidden="1"/>
    </xf>
    <xf numFmtId="0" fontId="24" fillId="3" borderId="35" xfId="0" applyFont="1" applyFill="1" applyBorder="1" applyAlignment="1" applyProtection="1">
      <alignment horizontal="center" vertical="center"/>
      <protection hidden="1"/>
    </xf>
    <xf numFmtId="0" fontId="24" fillId="3" borderId="28" xfId="0" applyFont="1" applyFill="1" applyBorder="1" applyAlignment="1" applyProtection="1">
      <alignment horizontal="center" vertical="center" wrapText="1"/>
      <protection hidden="1"/>
    </xf>
    <xf numFmtId="0" fontId="24" fillId="3" borderId="21" xfId="0" applyFont="1" applyFill="1" applyBorder="1" applyAlignment="1" applyProtection="1">
      <alignment horizontal="center" vertical="center" wrapText="1"/>
      <protection hidden="1"/>
    </xf>
    <xf numFmtId="0" fontId="24" fillId="3" borderId="23" xfId="0" applyFont="1" applyFill="1" applyBorder="1" applyAlignment="1" applyProtection="1">
      <alignment horizontal="center" vertical="center" wrapText="1"/>
      <protection hidden="1"/>
    </xf>
    <xf numFmtId="0" fontId="24" fillId="3" borderId="58" xfId="0" applyFont="1" applyFill="1" applyBorder="1" applyAlignment="1" applyProtection="1">
      <alignment horizontal="center" vertical="center"/>
      <protection hidden="1"/>
    </xf>
    <xf numFmtId="0" fontId="24" fillId="3" borderId="29" xfId="0" applyFont="1" applyFill="1" applyBorder="1" applyAlignment="1" applyProtection="1">
      <alignment horizontal="center" vertical="center" wrapText="1"/>
      <protection hidden="1"/>
    </xf>
    <xf numFmtId="0" fontId="24" fillId="3" borderId="4" xfId="0" applyFont="1" applyFill="1" applyBorder="1" applyAlignment="1" applyProtection="1">
      <alignment horizontal="center" vertical="center" wrapText="1"/>
      <protection hidden="1"/>
    </xf>
    <xf numFmtId="0" fontId="24" fillId="3" borderId="4" xfId="0" applyFont="1" applyFill="1" applyBorder="1" applyAlignment="1" applyProtection="1">
      <alignment horizontal="center" vertical="center"/>
      <protection hidden="1"/>
    </xf>
    <xf numFmtId="1" fontId="24" fillId="3" borderId="26" xfId="0" applyNumberFormat="1" applyFont="1" applyFill="1" applyBorder="1" applyAlignment="1" applyProtection="1">
      <alignment horizontal="center" vertical="center"/>
      <protection hidden="1"/>
    </xf>
    <xf numFmtId="0" fontId="24" fillId="0" borderId="15" xfId="0" applyFont="1" applyFill="1" applyBorder="1" applyAlignment="1" applyProtection="1">
      <alignment horizontal="center" vertical="center" wrapText="1"/>
      <protection hidden="1"/>
    </xf>
    <xf numFmtId="0" fontId="24" fillId="0" borderId="15" xfId="1" applyFont="1" applyFill="1" applyBorder="1" applyAlignment="1" applyProtection="1">
      <alignment horizontal="center" vertical="center"/>
      <protection hidden="1"/>
    </xf>
    <xf numFmtId="0" fontId="24" fillId="0" borderId="15" xfId="0" applyFont="1" applyFill="1" applyBorder="1" applyAlignment="1" applyProtection="1">
      <alignment horizontal="center" vertical="center"/>
      <protection hidden="1"/>
    </xf>
    <xf numFmtId="0" fontId="24" fillId="3" borderId="39" xfId="0" applyFont="1" applyFill="1" applyBorder="1" applyAlignment="1" applyProtection="1">
      <alignment horizontal="center" vertical="center"/>
      <protection hidden="1"/>
    </xf>
    <xf numFmtId="0" fontId="24" fillId="3" borderId="16" xfId="0" applyFont="1" applyFill="1" applyBorder="1" applyAlignment="1" applyProtection="1">
      <alignment horizontal="center" vertical="center"/>
      <protection hidden="1"/>
    </xf>
    <xf numFmtId="0" fontId="24" fillId="3" borderId="17" xfId="0" applyFont="1" applyFill="1" applyBorder="1" applyAlignment="1" applyProtection="1">
      <alignment horizontal="center" vertical="center"/>
      <protection hidden="1"/>
    </xf>
    <xf numFmtId="0" fontId="24" fillId="3" borderId="27" xfId="0" applyFont="1" applyFill="1" applyBorder="1" applyAlignment="1" applyProtection="1">
      <alignment horizontal="center" vertical="center"/>
      <protection hidden="1"/>
    </xf>
    <xf numFmtId="0" fontId="24" fillId="3" borderId="62" xfId="0" applyFont="1" applyFill="1" applyBorder="1" applyAlignment="1" applyProtection="1">
      <alignment horizontal="center" vertical="center"/>
      <protection hidden="1"/>
    </xf>
    <xf numFmtId="0" fontId="24" fillId="3" borderId="52" xfId="0" applyFont="1" applyFill="1" applyBorder="1" applyAlignment="1" applyProtection="1">
      <alignment horizontal="center" vertical="center"/>
      <protection hidden="1"/>
    </xf>
    <xf numFmtId="0" fontId="24" fillId="3" borderId="53" xfId="0" applyFont="1" applyFill="1" applyBorder="1" applyAlignment="1" applyProtection="1">
      <alignment horizontal="center" vertical="center"/>
      <protection hidden="1"/>
    </xf>
    <xf numFmtId="0" fontId="24" fillId="3" borderId="37" xfId="0" applyFont="1" applyFill="1" applyBorder="1" applyAlignment="1" applyProtection="1">
      <alignment horizontal="center" vertical="center"/>
      <protection hidden="1"/>
    </xf>
    <xf numFmtId="0" fontId="24" fillId="3" borderId="10" xfId="0" applyFont="1" applyFill="1" applyBorder="1" applyAlignment="1" applyProtection="1">
      <alignment horizontal="center" vertical="center"/>
      <protection hidden="1"/>
    </xf>
    <xf numFmtId="0" fontId="24" fillId="3" borderId="11" xfId="0" applyFont="1" applyFill="1" applyBorder="1" applyAlignment="1" applyProtection="1">
      <alignment horizontal="center" vertical="center"/>
      <protection hidden="1"/>
    </xf>
    <xf numFmtId="0" fontId="24" fillId="3" borderId="38" xfId="0" applyFont="1" applyFill="1" applyBorder="1" applyAlignment="1" applyProtection="1">
      <alignment horizontal="center" vertical="center"/>
      <protection hidden="1"/>
    </xf>
    <xf numFmtId="0" fontId="24" fillId="3" borderId="13" xfId="0" applyFont="1" applyFill="1" applyBorder="1" applyAlignment="1" applyProtection="1">
      <alignment horizontal="center" vertical="center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3" borderId="45" xfId="0" applyFont="1" applyFill="1" applyBorder="1" applyAlignment="1" applyProtection="1">
      <alignment horizontal="center" vertical="center"/>
      <protection hidden="1"/>
    </xf>
    <xf numFmtId="0" fontId="24" fillId="3" borderId="29" xfId="0" applyFont="1" applyFill="1" applyBorder="1" applyAlignment="1" applyProtection="1">
      <alignment horizontal="center" vertical="center"/>
      <protection hidden="1"/>
    </xf>
    <xf numFmtId="0" fontId="24" fillId="3" borderId="5" xfId="0" applyFont="1" applyFill="1" applyBorder="1" applyAlignment="1" applyProtection="1">
      <alignment horizontal="center" vertical="center" wrapText="1"/>
      <protection hidden="1"/>
    </xf>
    <xf numFmtId="0" fontId="24" fillId="3" borderId="17" xfId="0" applyFont="1" applyFill="1" applyBorder="1" applyAlignment="1" applyProtection="1">
      <alignment horizontal="center" vertical="center" wrapText="1"/>
      <protection hidden="1"/>
    </xf>
    <xf numFmtId="0" fontId="24" fillId="3" borderId="11" xfId="0" applyFont="1" applyFill="1" applyBorder="1" applyAlignment="1" applyProtection="1">
      <alignment horizontal="center" vertical="center" wrapText="1"/>
      <protection hidden="1"/>
    </xf>
    <xf numFmtId="0" fontId="24" fillId="3" borderId="38" xfId="0" applyFont="1" applyFill="1" applyBorder="1" applyAlignment="1" applyProtection="1">
      <alignment horizontal="center"/>
      <protection hidden="1"/>
    </xf>
    <xf numFmtId="0" fontId="24" fillId="3" borderId="14" xfId="0" applyFont="1" applyFill="1" applyBorder="1" applyAlignment="1" applyProtection="1">
      <alignment horizontal="center"/>
      <protection hidden="1"/>
    </xf>
    <xf numFmtId="0" fontId="24" fillId="3" borderId="28" xfId="0" applyFont="1" applyFill="1" applyBorder="1" applyAlignment="1" applyProtection="1">
      <alignment horizontal="center" vertical="center"/>
      <protection hidden="1"/>
    </xf>
    <xf numFmtId="0" fontId="24" fillId="3" borderId="21" xfId="0" applyFont="1" applyFill="1" applyBorder="1" applyAlignment="1" applyProtection="1">
      <alignment horizontal="center" vertical="center"/>
      <protection hidden="1"/>
    </xf>
    <xf numFmtId="0" fontId="24" fillId="3" borderId="1" xfId="0" applyFont="1" applyFill="1" applyBorder="1" applyProtection="1">
      <protection hidden="1"/>
    </xf>
    <xf numFmtId="1" fontId="25" fillId="4" borderId="40" xfId="0" applyNumberFormat="1" applyFont="1" applyFill="1" applyBorder="1" applyAlignment="1" applyProtection="1">
      <alignment horizontal="center" vertical="center"/>
      <protection hidden="1"/>
    </xf>
    <xf numFmtId="0" fontId="25" fillId="0" borderId="0" xfId="0" applyFont="1" applyBorder="1" applyAlignment="1" applyProtection="1">
      <alignment vertical="top"/>
      <protection hidden="1"/>
    </xf>
    <xf numFmtId="0" fontId="24" fillId="3" borderId="1" xfId="0" applyFont="1" applyFill="1" applyBorder="1" applyAlignment="1" applyProtection="1">
      <alignment horizontal="center" vertical="center" wrapText="1"/>
      <protection hidden="1"/>
    </xf>
    <xf numFmtId="0" fontId="24" fillId="3" borderId="2" xfId="0" applyFont="1" applyFill="1" applyBorder="1" applyAlignment="1" applyProtection="1">
      <alignment horizontal="center" vertical="center" wrapText="1"/>
      <protection hidden="1"/>
    </xf>
    <xf numFmtId="0" fontId="24" fillId="3" borderId="3" xfId="0" applyFont="1" applyFill="1" applyBorder="1" applyAlignment="1" applyProtection="1">
      <alignment horizontal="center" vertical="center" wrapText="1"/>
      <protection hidden="1"/>
    </xf>
    <xf numFmtId="0" fontId="10" fillId="25" borderId="1" xfId="0" applyFont="1" applyFill="1" applyBorder="1" applyAlignment="1" applyProtection="1">
      <alignment horizontal="center" vertical="center"/>
      <protection hidden="1"/>
    </xf>
    <xf numFmtId="0" fontId="10" fillId="25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/>
      <protection hidden="1"/>
    </xf>
    <xf numFmtId="0" fontId="0" fillId="4" borderId="48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8" fillId="3" borderId="19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8" fillId="3" borderId="18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8" fillId="0" borderId="8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44" xfId="0" applyFont="1" applyFill="1" applyBorder="1" applyAlignment="1" applyProtection="1">
      <alignment horizontal="center" vertical="center"/>
      <protection hidden="1"/>
    </xf>
    <xf numFmtId="0" fontId="0" fillId="3" borderId="32" xfId="0" applyFont="1" applyFill="1" applyBorder="1" applyAlignment="1" applyProtection="1">
      <alignment horizontal="center" vertical="center"/>
      <protection hidden="1"/>
    </xf>
    <xf numFmtId="0" fontId="0" fillId="3" borderId="4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Protection="1">
      <protection hidden="1"/>
    </xf>
    <xf numFmtId="0" fontId="0" fillId="3" borderId="3" xfId="0" applyFont="1" applyFill="1" applyBorder="1" applyProtection="1">
      <protection hidden="1"/>
    </xf>
    <xf numFmtId="0" fontId="8" fillId="3" borderId="50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21" fillId="10" borderId="41" xfId="0" applyFont="1" applyFill="1" applyBorder="1" applyAlignment="1" applyProtection="1">
      <alignment horizontal="center" vertical="center"/>
      <protection hidden="1"/>
    </xf>
    <xf numFmtId="0" fontId="21" fillId="10" borderId="15" xfId="0" applyFont="1" applyFill="1" applyBorder="1" applyAlignment="1" applyProtection="1">
      <alignment horizontal="center" vertical="center"/>
      <protection hidden="1"/>
    </xf>
    <xf numFmtId="0" fontId="21" fillId="10" borderId="49" xfId="0" applyFont="1" applyFill="1" applyBorder="1" applyAlignment="1" applyProtection="1">
      <alignment horizontal="center" vertical="center"/>
      <protection hidden="1"/>
    </xf>
    <xf numFmtId="0" fontId="24" fillId="3" borderId="40" xfId="0" applyFont="1" applyFill="1" applyBorder="1" applyAlignment="1" applyProtection="1">
      <alignment horizontal="center" vertical="center"/>
      <protection hidden="1"/>
    </xf>
    <xf numFmtId="0" fontId="24" fillId="3" borderId="31" xfId="0" applyFont="1" applyFill="1" applyBorder="1" applyAlignment="1" applyProtection="1">
      <alignment horizontal="center" vertical="center"/>
      <protection hidden="1"/>
    </xf>
    <xf numFmtId="0" fontId="24" fillId="3" borderId="9" xfId="0" applyFont="1" applyFill="1" applyBorder="1" applyAlignment="1" applyProtection="1">
      <alignment horizontal="center" vertical="center"/>
      <protection hidden="1"/>
    </xf>
    <xf numFmtId="0" fontId="24" fillId="3" borderId="16" xfId="0" applyFont="1" applyFill="1" applyBorder="1" applyAlignment="1" applyProtection="1">
      <alignment horizontal="center" vertical="center"/>
      <protection hidden="1"/>
    </xf>
    <xf numFmtId="0" fontId="24" fillId="3" borderId="52" xfId="0" applyFont="1" applyFill="1" applyBorder="1" applyAlignment="1" applyProtection="1">
      <alignment horizontal="center" vertical="center"/>
      <protection hidden="1"/>
    </xf>
    <xf numFmtId="0" fontId="24" fillId="3" borderId="10" xfId="0" applyFont="1" applyFill="1" applyBorder="1" applyAlignment="1" applyProtection="1">
      <alignment horizontal="center" vertical="center"/>
      <protection hidden="1"/>
    </xf>
    <xf numFmtId="0" fontId="24" fillId="3" borderId="13" xfId="0" applyFont="1" applyFill="1" applyBorder="1" applyAlignment="1" applyProtection="1">
      <alignment horizontal="center" vertical="center"/>
      <protection hidden="1"/>
    </xf>
    <xf numFmtId="0" fontId="15" fillId="10" borderId="7" xfId="0" applyFont="1" applyFill="1" applyBorder="1" applyAlignment="1" applyProtection="1">
      <alignment horizontal="center" vertical="center"/>
      <protection hidden="1"/>
    </xf>
    <xf numFmtId="0" fontId="15" fillId="10" borderId="4" xfId="0" applyFont="1" applyFill="1" applyBorder="1" applyAlignment="1" applyProtection="1">
      <alignment horizontal="center" vertical="center"/>
      <protection hidden="1"/>
    </xf>
    <xf numFmtId="0" fontId="15" fillId="10" borderId="8" xfId="0" applyFont="1" applyFill="1" applyBorder="1" applyAlignment="1" applyProtection="1">
      <alignment horizontal="center" vertical="center"/>
      <protection hidden="1"/>
    </xf>
    <xf numFmtId="0" fontId="24" fillId="3" borderId="40" xfId="1" applyFont="1" applyFill="1" applyBorder="1" applyAlignment="1" applyProtection="1">
      <alignment horizontal="center" vertical="center"/>
      <protection hidden="1"/>
    </xf>
    <xf numFmtId="0" fontId="24" fillId="3" borderId="31" xfId="1" applyFont="1" applyFill="1" applyBorder="1" applyAlignment="1" applyProtection="1">
      <alignment horizontal="center" vertical="center"/>
      <protection hidden="1"/>
    </xf>
    <xf numFmtId="0" fontId="24" fillId="3" borderId="9" xfId="1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0" fontId="8" fillId="3" borderId="9" xfId="0" applyFont="1" applyFill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24" fillId="3" borderId="66" xfId="0" applyFont="1" applyFill="1" applyBorder="1" applyAlignment="1" applyProtection="1">
      <alignment horizontal="center" vertical="center"/>
      <protection hidden="1"/>
    </xf>
    <xf numFmtId="0" fontId="24" fillId="3" borderId="60" xfId="0" applyFont="1" applyFill="1" applyBorder="1" applyAlignment="1" applyProtection="1">
      <alignment horizontal="center" vertical="center"/>
      <protection hidden="1"/>
    </xf>
    <xf numFmtId="0" fontId="24" fillId="3" borderId="35" xfId="0" applyFont="1" applyFill="1" applyBorder="1" applyAlignment="1" applyProtection="1">
      <alignment horizontal="center" vertical="center"/>
      <protection hidden="1"/>
    </xf>
    <xf numFmtId="0" fontId="24" fillId="3" borderId="39" xfId="0" applyFont="1" applyFill="1" applyBorder="1" applyAlignment="1" applyProtection="1">
      <alignment horizontal="center" vertical="center"/>
      <protection hidden="1"/>
    </xf>
    <xf numFmtId="0" fontId="24" fillId="3" borderId="37" xfId="0" applyFont="1" applyFill="1" applyBorder="1" applyAlignment="1" applyProtection="1">
      <alignment horizontal="center" vertical="center"/>
      <protection hidden="1"/>
    </xf>
    <xf numFmtId="0" fontId="24" fillId="3" borderId="1" xfId="0" applyFont="1" applyFill="1" applyBorder="1" applyAlignment="1" applyProtection="1">
      <alignment horizontal="center" vertical="center"/>
      <protection hidden="1"/>
    </xf>
    <xf numFmtId="0" fontId="24" fillId="3" borderId="27" xfId="0" applyFont="1" applyFill="1" applyBorder="1" applyAlignment="1" applyProtection="1">
      <alignment horizontal="center" vertical="center"/>
      <protection hidden="1"/>
    </xf>
    <xf numFmtId="0" fontId="24" fillId="3" borderId="2" xfId="0" applyFont="1" applyFill="1" applyBorder="1" applyAlignment="1" applyProtection="1">
      <alignment horizontal="center" vertical="center"/>
      <protection hidden="1"/>
    </xf>
    <xf numFmtId="0" fontId="24" fillId="3" borderId="3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0" borderId="8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27" xfId="0" applyFont="1" applyFill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8" fillId="0" borderId="41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8" fillId="0" borderId="49" xfId="0" applyFont="1" applyFill="1" applyBorder="1" applyAlignment="1" applyProtection="1">
      <alignment horizontal="center" vertical="center"/>
      <protection hidden="1"/>
    </xf>
    <xf numFmtId="0" fontId="24" fillId="3" borderId="62" xfId="0" applyFont="1" applyFill="1" applyBorder="1" applyAlignment="1" applyProtection="1">
      <alignment horizontal="center" vertical="center"/>
      <protection hidden="1"/>
    </xf>
    <xf numFmtId="0" fontId="24" fillId="3" borderId="38" xfId="0" applyFont="1" applyFill="1" applyBorder="1" applyAlignment="1" applyProtection="1">
      <alignment horizontal="center" vertical="center"/>
      <protection hidden="1"/>
    </xf>
    <xf numFmtId="0" fontId="24" fillId="3" borderId="87" xfId="0" applyFont="1" applyFill="1" applyBorder="1" applyAlignment="1" applyProtection="1">
      <alignment horizontal="center" vertical="center"/>
      <protection hidden="1"/>
    </xf>
    <xf numFmtId="0" fontId="24" fillId="3" borderId="56" xfId="0" applyFont="1" applyFill="1" applyBorder="1" applyAlignment="1" applyProtection="1">
      <alignment horizontal="center" vertical="center"/>
      <protection hidden="1"/>
    </xf>
    <xf numFmtId="0" fontId="24" fillId="3" borderId="45" xfId="0" applyFont="1" applyFill="1" applyBorder="1" applyAlignment="1" applyProtection="1">
      <alignment horizontal="center" vertical="center"/>
      <protection hidden="1"/>
    </xf>
    <xf numFmtId="0" fontId="24" fillId="3" borderId="17" xfId="0" applyFont="1" applyFill="1" applyBorder="1" applyAlignment="1" applyProtection="1">
      <alignment horizontal="center" vertical="center"/>
      <protection hidden="1"/>
    </xf>
    <xf numFmtId="0" fontId="24" fillId="3" borderId="53" xfId="0" applyFont="1" applyFill="1" applyBorder="1" applyAlignment="1" applyProtection="1">
      <alignment horizontal="center" vertical="center"/>
      <protection hidden="1"/>
    </xf>
    <xf numFmtId="0" fontId="24" fillId="3" borderId="11" xfId="0" applyFont="1" applyFill="1" applyBorder="1" applyAlignment="1" applyProtection="1">
      <alignment horizontal="center" vertical="center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3" borderId="49" xfId="0" applyFont="1" applyFill="1" applyBorder="1" applyAlignment="1" applyProtection="1">
      <alignment horizontal="center" vertical="center"/>
      <protection hidden="1"/>
    </xf>
    <xf numFmtId="0" fontId="24" fillId="3" borderId="6" xfId="0" applyFont="1" applyFill="1" applyBorder="1" applyAlignment="1" applyProtection="1">
      <alignment horizontal="center" vertical="center"/>
      <protection hidden="1"/>
    </xf>
    <xf numFmtId="0" fontId="24" fillId="3" borderId="3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24" fillId="3" borderId="41" xfId="0" applyFont="1" applyFill="1" applyBorder="1" applyAlignment="1" applyProtection="1">
      <alignment horizontal="center" vertical="center"/>
      <protection hidden="1"/>
    </xf>
    <xf numFmtId="0" fontId="24" fillId="3" borderId="57" xfId="0" applyFont="1" applyFill="1" applyBorder="1" applyAlignment="1" applyProtection="1">
      <alignment horizontal="center" vertical="center"/>
      <protection hidden="1"/>
    </xf>
    <xf numFmtId="0" fontId="24" fillId="3" borderId="33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 wrapText="1"/>
      <protection hidden="1"/>
    </xf>
    <xf numFmtId="0" fontId="0" fillId="3" borderId="32" xfId="0" applyFont="1" applyFill="1" applyBorder="1" applyAlignment="1" applyProtection="1">
      <alignment horizontal="center" vertical="center" wrapText="1"/>
      <protection hidden="1"/>
    </xf>
    <xf numFmtId="0" fontId="0" fillId="3" borderId="18" xfId="0" applyFont="1" applyFill="1" applyBorder="1" applyAlignment="1" applyProtection="1">
      <alignment horizontal="center" vertical="center" wrapText="1"/>
      <protection hidden="1"/>
    </xf>
    <xf numFmtId="0" fontId="8" fillId="0" borderId="30" xfId="0" applyFont="1" applyFill="1" applyBorder="1" applyAlignment="1" applyProtection="1">
      <alignment horizontal="center" vertical="center"/>
      <protection hidden="1"/>
    </xf>
    <xf numFmtId="0" fontId="0" fillId="4" borderId="28" xfId="0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/>
      <protection hidden="1"/>
    </xf>
    <xf numFmtId="0" fontId="0" fillId="7" borderId="40" xfId="0" applyFont="1" applyFill="1" applyBorder="1" applyAlignment="1" applyProtection="1">
      <alignment horizontal="center" vertical="center"/>
      <protection hidden="1"/>
    </xf>
    <xf numFmtId="0" fontId="0" fillId="7" borderId="31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8" fillId="3" borderId="57" xfId="0" applyFont="1" applyFill="1" applyBorder="1" applyAlignment="1" applyProtection="1">
      <alignment horizontal="center" vertical="center"/>
      <protection hidden="1"/>
    </xf>
    <xf numFmtId="0" fontId="8" fillId="3" borderId="33" xfId="0" applyFont="1" applyFill="1" applyBorder="1" applyAlignment="1" applyProtection="1">
      <alignment horizontal="center" vertical="center"/>
      <protection hidden="1"/>
    </xf>
    <xf numFmtId="0" fontId="24" fillId="3" borderId="40" xfId="0" applyFont="1" applyFill="1" applyBorder="1" applyAlignment="1" applyProtection="1">
      <alignment horizontal="center" vertical="center" wrapText="1"/>
      <protection hidden="1"/>
    </xf>
    <xf numFmtId="0" fontId="24" fillId="3" borderId="31" xfId="0" applyFont="1" applyFill="1" applyBorder="1" applyAlignment="1" applyProtection="1">
      <alignment horizontal="center" vertical="center" wrapText="1"/>
      <protection hidden="1"/>
    </xf>
    <xf numFmtId="0" fontId="24" fillId="3" borderId="9" xfId="0" applyFont="1" applyFill="1" applyBorder="1" applyAlignment="1" applyProtection="1">
      <alignment horizontal="center" vertical="center" wrapText="1"/>
      <protection hidden="1"/>
    </xf>
    <xf numFmtId="0" fontId="8" fillId="5" borderId="4" xfId="0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horizontal="center" vertical="center"/>
      <protection hidden="1"/>
    </xf>
    <xf numFmtId="3" fontId="24" fillId="3" borderId="41" xfId="0" applyNumberFormat="1" applyFont="1" applyFill="1" applyBorder="1" applyAlignment="1" applyProtection="1">
      <alignment horizontal="center" vertical="center"/>
      <protection hidden="1"/>
    </xf>
    <xf numFmtId="3" fontId="24" fillId="3" borderId="57" xfId="0" applyNumberFormat="1" applyFont="1" applyFill="1" applyBorder="1" applyAlignment="1" applyProtection="1">
      <alignment horizontal="center" vertical="center"/>
      <protection hidden="1"/>
    </xf>
    <xf numFmtId="3" fontId="24" fillId="3" borderId="33" xfId="0" applyNumberFormat="1" applyFont="1" applyFill="1" applyBorder="1" applyAlignment="1" applyProtection="1">
      <alignment horizontal="center" vertical="center"/>
      <protection hidden="1"/>
    </xf>
    <xf numFmtId="164" fontId="24" fillId="3" borderId="28" xfId="0" applyNumberFormat="1" applyFont="1" applyFill="1" applyBorder="1" applyAlignment="1" applyProtection="1">
      <alignment horizontal="center" vertical="center" wrapText="1"/>
      <protection hidden="1"/>
    </xf>
    <xf numFmtId="164" fontId="24" fillId="3" borderId="21" xfId="0" applyNumberFormat="1" applyFont="1" applyFill="1" applyBorder="1" applyAlignment="1" applyProtection="1">
      <alignment horizontal="center" vertical="center" wrapText="1"/>
      <protection hidden="1"/>
    </xf>
    <xf numFmtId="164" fontId="24" fillId="3" borderId="29" xfId="0" applyNumberFormat="1" applyFont="1" applyFill="1" applyBorder="1" applyAlignment="1" applyProtection="1">
      <alignment horizontal="center" vertical="center" wrapText="1"/>
      <protection hidden="1"/>
    </xf>
    <xf numFmtId="0" fontId="8" fillId="5" borderId="15" xfId="0" applyFont="1" applyFill="1" applyBorder="1" applyAlignment="1" applyProtection="1">
      <alignment horizontal="center" vertical="center"/>
      <protection hidden="1"/>
    </xf>
    <xf numFmtId="0" fontId="24" fillId="3" borderId="41" xfId="0" applyFont="1" applyFill="1" applyBorder="1" applyAlignment="1">
      <alignment horizontal="center" vertical="center" wrapText="1"/>
    </xf>
    <xf numFmtId="0" fontId="24" fillId="3" borderId="57" xfId="0" applyFont="1" applyFill="1" applyBorder="1" applyAlignment="1">
      <alignment horizontal="center" vertical="center" wrapText="1"/>
    </xf>
    <xf numFmtId="0" fontId="24" fillId="3" borderId="33" xfId="0" applyFont="1" applyFill="1" applyBorder="1" applyAlignment="1">
      <alignment horizontal="center" vertical="center" wrapText="1"/>
    </xf>
    <xf numFmtId="164" fontId="24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24" fillId="3" borderId="18" xfId="0" applyNumberFormat="1" applyFont="1" applyFill="1" applyBorder="1" applyAlignment="1" applyProtection="1">
      <alignment horizontal="center" vertical="center" wrapText="1"/>
      <protection hidden="1"/>
    </xf>
    <xf numFmtId="164" fontId="24" fillId="3" borderId="74" xfId="0" applyNumberFormat="1" applyFont="1" applyFill="1" applyBorder="1" applyAlignment="1" applyProtection="1">
      <alignment horizontal="center" vertical="center" wrapText="1"/>
      <protection hidden="1"/>
    </xf>
    <xf numFmtId="164" fontId="24" fillId="3" borderId="76" xfId="0" applyNumberFormat="1" applyFont="1" applyFill="1" applyBorder="1" applyAlignment="1" applyProtection="1">
      <alignment horizontal="center" vertical="center" wrapText="1"/>
      <protection hidden="1"/>
    </xf>
    <xf numFmtId="3" fontId="24" fillId="3" borderId="1" xfId="0" applyNumberFormat="1" applyFont="1" applyFill="1" applyBorder="1" applyAlignment="1" applyProtection="1">
      <alignment horizontal="center" vertical="center"/>
      <protection hidden="1"/>
    </xf>
    <xf numFmtId="3" fontId="24" fillId="3" borderId="3" xfId="0" applyNumberFormat="1" applyFont="1" applyFill="1" applyBorder="1" applyAlignment="1" applyProtection="1">
      <alignment horizontal="center" vertical="center"/>
      <protection hidden="1"/>
    </xf>
    <xf numFmtId="0" fontId="24" fillId="3" borderId="40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0" fillId="15" borderId="2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24" fillId="3" borderId="28" xfId="0" applyFont="1" applyFill="1" applyBorder="1" applyAlignment="1" applyProtection="1">
      <alignment horizontal="center" vertical="center"/>
      <protection hidden="1"/>
    </xf>
    <xf numFmtId="0" fontId="24" fillId="3" borderId="21" xfId="0" applyFont="1" applyFill="1" applyBorder="1" applyAlignment="1" applyProtection="1">
      <alignment horizontal="center" vertical="center"/>
      <protection hidden="1"/>
    </xf>
    <xf numFmtId="0" fontId="8" fillId="3" borderId="85" xfId="0" applyFont="1" applyFill="1" applyBorder="1" applyAlignment="1" applyProtection="1">
      <alignment horizontal="center" vertical="center"/>
      <protection hidden="1"/>
    </xf>
    <xf numFmtId="0" fontId="0" fillId="3" borderId="86" xfId="0" applyFont="1" applyFill="1" applyBorder="1" applyAlignment="1" applyProtection="1">
      <alignment horizontal="center" vertical="center"/>
      <protection hidden="1"/>
    </xf>
    <xf numFmtId="0" fontId="24" fillId="3" borderId="46" xfId="0" applyFont="1" applyFill="1" applyBorder="1" applyAlignment="1" applyProtection="1">
      <alignment horizontal="center" vertical="center" wrapText="1"/>
      <protection hidden="1"/>
    </xf>
    <xf numFmtId="0" fontId="24" fillId="3" borderId="61" xfId="0" applyFont="1" applyFill="1" applyBorder="1" applyAlignment="1" applyProtection="1">
      <alignment horizontal="center" vertical="center"/>
      <protection hidden="1"/>
    </xf>
    <xf numFmtId="0" fontId="24" fillId="3" borderId="47" xfId="0" applyFont="1" applyFill="1" applyBorder="1" applyAlignment="1" applyProtection="1">
      <alignment horizontal="center" vertical="center"/>
      <protection hidden="1"/>
    </xf>
    <xf numFmtId="0" fontId="24" fillId="3" borderId="8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/>
      <protection hidden="1"/>
    </xf>
    <xf numFmtId="0" fontId="24" fillId="3" borderId="0" xfId="0" applyFont="1" applyFill="1" applyBorder="1" applyAlignment="1" applyProtection="1">
      <alignment horizontal="center" vertical="center" wrapText="1"/>
      <protection hidden="1"/>
    </xf>
    <xf numFmtId="0" fontId="24" fillId="3" borderId="85" xfId="0" applyFont="1" applyFill="1" applyBorder="1" applyAlignment="1" applyProtection="1">
      <alignment horizontal="center" vertical="center" wrapText="1"/>
      <protection hidden="1"/>
    </xf>
    <xf numFmtId="0" fontId="24" fillId="3" borderId="88" xfId="0" applyFont="1" applyFill="1" applyBorder="1" applyAlignment="1" applyProtection="1">
      <alignment horizontal="center" vertical="center" wrapText="1"/>
      <protection hidden="1"/>
    </xf>
    <xf numFmtId="0" fontId="24" fillId="3" borderId="86" xfId="0" applyFont="1" applyFill="1" applyBorder="1" applyAlignment="1" applyProtection="1">
      <alignment horizontal="center" vertical="center" wrapText="1"/>
      <protection hidden="1"/>
    </xf>
    <xf numFmtId="0" fontId="15" fillId="0" borderId="30" xfId="0" applyFont="1" applyBorder="1" applyAlignment="1" applyProtection="1">
      <alignment horizontal="left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64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60" xfId="0" applyFont="1" applyFill="1" applyBorder="1" applyAlignment="1">
      <alignment horizontal="center" vertical="center"/>
    </xf>
    <xf numFmtId="0" fontId="24" fillId="3" borderId="89" xfId="0" applyFont="1" applyFill="1" applyBorder="1" applyAlignment="1" applyProtection="1">
      <alignment horizontal="center" vertical="center" wrapText="1"/>
      <protection hidden="1"/>
    </xf>
    <xf numFmtId="0" fontId="24" fillId="3" borderId="74" xfId="0" applyFont="1" applyFill="1" applyBorder="1" applyAlignment="1" applyProtection="1">
      <alignment horizontal="center" vertical="center" wrapText="1"/>
      <protection hidden="1"/>
    </xf>
    <xf numFmtId="0" fontId="24" fillId="3" borderId="76" xfId="0" applyFont="1" applyFill="1" applyBorder="1" applyAlignment="1" applyProtection="1">
      <alignment horizontal="center" vertical="center" wrapText="1"/>
      <protection hidden="1"/>
    </xf>
    <xf numFmtId="3" fontId="24" fillId="3" borderId="2" xfId="0" applyNumberFormat="1" applyFont="1" applyFill="1" applyBorder="1" applyAlignment="1" applyProtection="1">
      <alignment horizontal="center" vertical="center"/>
      <protection hidden="1"/>
    </xf>
    <xf numFmtId="1" fontId="25" fillId="4" borderId="40" xfId="0" applyNumberFormat="1" applyFont="1" applyFill="1" applyBorder="1" applyAlignment="1" applyProtection="1">
      <alignment horizontal="center" vertical="center"/>
      <protection hidden="1"/>
    </xf>
    <xf numFmtId="1" fontId="25" fillId="4" borderId="31" xfId="0" applyNumberFormat="1" applyFont="1" applyFill="1" applyBorder="1" applyAlignment="1" applyProtection="1">
      <alignment horizontal="center" vertical="center"/>
      <protection hidden="1"/>
    </xf>
    <xf numFmtId="1" fontId="25" fillId="4" borderId="9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 vertical="center"/>
      <protection hidden="1"/>
    </xf>
    <xf numFmtId="1" fontId="8" fillId="4" borderId="40" xfId="0" applyNumberFormat="1" applyFont="1" applyFill="1" applyBorder="1" applyAlignment="1" applyProtection="1">
      <alignment horizontal="center" vertical="center"/>
      <protection hidden="1"/>
    </xf>
    <xf numFmtId="1" fontId="8" fillId="4" borderId="31" xfId="0" applyNumberFormat="1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0" fontId="24" fillId="3" borderId="6" xfId="0" applyFont="1" applyFill="1" applyBorder="1" applyAlignment="1" applyProtection="1">
      <alignment horizontal="center" vertical="center" wrapText="1"/>
      <protection hidden="1"/>
    </xf>
    <xf numFmtId="0" fontId="24" fillId="3" borderId="34" xfId="0" applyFont="1" applyFill="1" applyBorder="1" applyAlignment="1" applyProtection="1">
      <alignment horizontal="center" vertical="center" wrapText="1"/>
      <protection hidden="1"/>
    </xf>
    <xf numFmtId="0" fontId="24" fillId="3" borderId="92" xfId="0" applyFont="1" applyFill="1" applyBorder="1" applyAlignment="1" applyProtection="1">
      <alignment horizontal="center" vertical="center"/>
      <protection hidden="1"/>
    </xf>
    <xf numFmtId="0" fontId="24" fillId="3" borderId="80" xfId="0" applyFont="1" applyFill="1" applyBorder="1" applyAlignment="1" applyProtection="1">
      <alignment horizontal="center" vertical="center"/>
      <protection hidden="1"/>
    </xf>
    <xf numFmtId="0" fontId="24" fillId="3" borderId="81" xfId="0" applyFont="1" applyFill="1" applyBorder="1" applyAlignment="1" applyProtection="1">
      <alignment horizontal="center" vertical="center"/>
      <protection hidden="1"/>
    </xf>
    <xf numFmtId="0" fontId="24" fillId="3" borderId="67" xfId="0" applyFont="1" applyFill="1" applyBorder="1" applyAlignment="1" applyProtection="1">
      <alignment horizontal="center" vertical="center"/>
      <protection hidden="1"/>
    </xf>
    <xf numFmtId="0" fontId="24" fillId="3" borderId="68" xfId="0" applyFont="1" applyFill="1" applyBorder="1" applyAlignment="1" applyProtection="1">
      <alignment horizontal="center" vertical="center"/>
      <protection hidden="1"/>
    </xf>
    <xf numFmtId="0" fontId="24" fillId="3" borderId="69" xfId="0" applyFont="1" applyFill="1" applyBorder="1" applyAlignment="1" applyProtection="1">
      <alignment horizontal="center" vertical="center"/>
      <protection hidden="1"/>
    </xf>
    <xf numFmtId="2" fontId="6" fillId="0" borderId="6" xfId="2" applyNumberFormat="1" applyFont="1" applyBorder="1" applyAlignment="1" applyProtection="1">
      <alignment horizontal="center" vertical="center"/>
      <protection hidden="1"/>
    </xf>
    <xf numFmtId="0" fontId="24" fillId="3" borderId="75" xfId="0" applyFont="1" applyFill="1" applyBorder="1" applyAlignment="1" applyProtection="1">
      <alignment horizontal="center" vertical="center" wrapText="1"/>
      <protection hidden="1"/>
    </xf>
    <xf numFmtId="0" fontId="24" fillId="3" borderId="91" xfId="0" applyFont="1" applyFill="1" applyBorder="1" applyAlignment="1" applyProtection="1">
      <alignment horizontal="center" vertical="center"/>
      <protection hidden="1"/>
    </xf>
    <xf numFmtId="0" fontId="24" fillId="3" borderId="77" xfId="0" applyFont="1" applyFill="1" applyBorder="1" applyAlignment="1" applyProtection="1">
      <alignment horizontal="center" vertical="center"/>
      <protection hidden="1"/>
    </xf>
    <xf numFmtId="0" fontId="24" fillId="3" borderId="78" xfId="0" applyFont="1" applyFill="1" applyBorder="1" applyAlignment="1" applyProtection="1">
      <alignment horizontal="center" vertical="center"/>
      <protection hidden="1"/>
    </xf>
    <xf numFmtId="0" fontId="24" fillId="3" borderId="82" xfId="0" applyFont="1" applyFill="1" applyBorder="1" applyAlignment="1" applyProtection="1">
      <alignment horizontal="center" vertical="center"/>
      <protection hidden="1"/>
    </xf>
    <xf numFmtId="0" fontId="24" fillId="3" borderId="90" xfId="0" applyFont="1" applyFill="1" applyBorder="1" applyAlignment="1" applyProtection="1">
      <alignment horizontal="center" vertical="center"/>
      <protection hidden="1"/>
    </xf>
    <xf numFmtId="0" fontId="24" fillId="3" borderId="73" xfId="0" applyFont="1" applyFill="1" applyBorder="1" applyAlignment="1" applyProtection="1">
      <alignment horizontal="center" vertical="center"/>
      <protection hidden="1"/>
    </xf>
    <xf numFmtId="0" fontId="24" fillId="3" borderId="83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24" fillId="3" borderId="28" xfId="0" applyFont="1" applyFill="1" applyBorder="1" applyAlignment="1" applyProtection="1">
      <alignment horizontal="center" vertical="center" wrapText="1"/>
      <protection hidden="1"/>
    </xf>
    <xf numFmtId="0" fontId="24" fillId="3" borderId="29" xfId="0" applyFont="1" applyFill="1" applyBorder="1" applyAlignment="1" applyProtection="1">
      <alignment horizontal="center" vertical="center"/>
      <protection hidden="1"/>
    </xf>
    <xf numFmtId="0" fontId="24" fillId="3" borderId="79" xfId="0" applyFont="1" applyFill="1" applyBorder="1" applyAlignment="1" applyProtection="1">
      <alignment horizontal="center" vertical="center"/>
      <protection hidden="1"/>
    </xf>
    <xf numFmtId="0" fontId="24" fillId="3" borderId="72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3" borderId="75" xfId="0" applyFont="1" applyFill="1" applyBorder="1" applyAlignment="1" applyProtection="1">
      <alignment horizontal="center" vertical="center" wrapText="1"/>
      <protection hidden="1"/>
    </xf>
    <xf numFmtId="0" fontId="0" fillId="3" borderId="74" xfId="0" applyFont="1" applyFill="1" applyBorder="1" applyAlignment="1" applyProtection="1">
      <alignment horizontal="center" vertical="center" wrapText="1"/>
      <protection hidden="1"/>
    </xf>
    <xf numFmtId="0" fontId="0" fillId="3" borderId="72" xfId="0" applyFont="1" applyFill="1" applyBorder="1" applyAlignment="1" applyProtection="1">
      <alignment horizontal="center" vertical="center"/>
      <protection hidden="1"/>
    </xf>
    <xf numFmtId="0" fontId="0" fillId="3" borderId="73" xfId="0" applyFont="1" applyFill="1" applyBorder="1" applyAlignment="1" applyProtection="1">
      <alignment horizontal="center" vertical="center"/>
      <protection hidden="1"/>
    </xf>
    <xf numFmtId="0" fontId="0" fillId="3" borderId="82" xfId="0" applyFont="1" applyFill="1" applyBorder="1" applyAlignment="1" applyProtection="1">
      <alignment horizontal="center" vertical="center"/>
      <protection hidden="1"/>
    </xf>
    <xf numFmtId="0" fontId="0" fillId="3" borderId="77" xfId="0" applyFont="1" applyFill="1" applyBorder="1" applyAlignment="1" applyProtection="1">
      <alignment horizontal="center" vertical="center"/>
      <protection hidden="1"/>
    </xf>
    <xf numFmtId="0" fontId="0" fillId="3" borderId="79" xfId="0" applyFont="1" applyFill="1" applyBorder="1" applyAlignment="1" applyProtection="1">
      <alignment horizontal="center" vertical="center"/>
      <protection hidden="1"/>
    </xf>
    <xf numFmtId="0" fontId="0" fillId="3" borderId="80" xfId="0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2" fontId="8" fillId="4" borderId="40" xfId="0" applyNumberFormat="1" applyFont="1" applyFill="1" applyBorder="1" applyAlignment="1" applyProtection="1">
      <alignment horizontal="center" vertical="center"/>
      <protection hidden="1"/>
    </xf>
    <xf numFmtId="2" fontId="8" fillId="4" borderId="31" xfId="0" applyNumberFormat="1" applyFont="1" applyFill="1" applyBorder="1" applyAlignment="1" applyProtection="1">
      <alignment horizontal="center" vertical="center"/>
      <protection hidden="1"/>
    </xf>
    <xf numFmtId="2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76" xfId="0" applyFont="1" applyFill="1" applyBorder="1" applyAlignment="1" applyProtection="1">
      <alignment horizontal="center" vertical="center" wrapText="1"/>
      <protection hidden="1"/>
    </xf>
    <xf numFmtId="0" fontId="0" fillId="3" borderId="83" xfId="0" applyFont="1" applyFill="1" applyBorder="1" applyAlignment="1" applyProtection="1">
      <alignment horizontal="center" vertical="center"/>
      <protection hidden="1"/>
    </xf>
    <xf numFmtId="0" fontId="0" fillId="3" borderId="78" xfId="0" applyFont="1" applyFill="1" applyBorder="1" applyAlignment="1" applyProtection="1">
      <alignment horizontal="center" vertical="center"/>
      <protection hidden="1"/>
    </xf>
    <xf numFmtId="0" fontId="0" fillId="3" borderId="81" xfId="0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 wrapText="1"/>
      <protection hidden="1"/>
    </xf>
    <xf numFmtId="0" fontId="0" fillId="3" borderId="31" xfId="0" applyFont="1" applyFill="1" applyBorder="1" applyAlignment="1" applyProtection="1">
      <alignment horizontal="center" vertical="center" wrapText="1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0" fillId="3" borderId="40" xfId="0" applyFont="1" applyFill="1" applyBorder="1" applyAlignment="1" applyProtection="1">
      <alignment horizontal="center" vertical="center"/>
      <protection hidden="1"/>
    </xf>
    <xf numFmtId="0" fontId="0" fillId="3" borderId="31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/>
      <protection hidden="1"/>
    </xf>
    <xf numFmtId="164" fontId="0" fillId="3" borderId="75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4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40" xfId="0" applyNumberFormat="1" applyFont="1" applyFill="1" applyBorder="1" applyAlignment="1" applyProtection="1">
      <alignment horizontal="center" vertical="center"/>
      <protection hidden="1"/>
    </xf>
    <xf numFmtId="3" fontId="0" fillId="3" borderId="31" xfId="0" applyNumberFormat="1" applyFont="1" applyFill="1" applyBorder="1" applyAlignment="1" applyProtection="1">
      <alignment horizontal="center" vertical="center"/>
      <protection hidden="1"/>
    </xf>
    <xf numFmtId="3" fontId="0" fillId="3" borderId="9" xfId="0" applyNumberFormat="1" applyFont="1" applyFill="1" applyBorder="1" applyAlignment="1" applyProtection="1">
      <alignment horizontal="center" vertical="center"/>
      <protection hidden="1"/>
    </xf>
    <xf numFmtId="164" fontId="0" fillId="3" borderId="76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1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9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" xfId="0" applyNumberFormat="1" applyFont="1" applyFill="1" applyBorder="1" applyAlignment="1" applyProtection="1">
      <alignment horizontal="center" vertical="center"/>
      <protection hidden="1"/>
    </xf>
    <xf numFmtId="3" fontId="0" fillId="3" borderId="2" xfId="0" applyNumberFormat="1" applyFont="1" applyFill="1" applyBorder="1" applyAlignment="1" applyProtection="1">
      <alignment horizontal="center" vertical="center"/>
      <protection hidden="1"/>
    </xf>
    <xf numFmtId="3" fontId="0" fillId="3" borderId="3" xfId="0" applyNumberFormat="1" applyFont="1" applyFill="1" applyBorder="1" applyAlignment="1" applyProtection="1">
      <alignment horizontal="center" vertical="center"/>
      <protection hidden="1"/>
    </xf>
    <xf numFmtId="164" fontId="0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8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0" fillId="3" borderId="46" xfId="0" applyFont="1" applyFill="1" applyBorder="1" applyAlignment="1" applyProtection="1">
      <alignment horizontal="center" vertical="center" wrapText="1"/>
      <protection hidden="1"/>
    </xf>
    <xf numFmtId="0" fontId="0" fillId="3" borderId="61" xfId="0" applyFont="1" applyFill="1" applyBorder="1" applyAlignment="1" applyProtection="1">
      <alignment horizontal="center" vertical="center"/>
      <protection hidden="1"/>
    </xf>
    <xf numFmtId="0" fontId="0" fillId="3" borderId="47" xfId="0" applyFont="1" applyFill="1" applyBorder="1" applyAlignment="1" applyProtection="1">
      <alignment horizontal="center" vertical="center"/>
      <protection hidden="1"/>
    </xf>
    <xf numFmtId="0" fontId="0" fillId="3" borderId="84" xfId="0" applyFont="1" applyFill="1" applyBorder="1" applyAlignment="1" applyProtection="1">
      <alignment horizontal="center" vertical="center"/>
      <protection hidden="1"/>
    </xf>
    <xf numFmtId="0" fontId="0" fillId="3" borderId="6" xfId="0" applyFont="1" applyFill="1" applyBorder="1" applyAlignment="1" applyProtection="1">
      <alignment horizontal="center" vertical="center"/>
      <protection hidden="1"/>
    </xf>
    <xf numFmtId="0" fontId="0" fillId="4" borderId="41" xfId="0" applyFont="1" applyFill="1" applyBorder="1" applyAlignment="1" applyProtection="1">
      <alignment horizontal="center" vertical="center" wrapText="1"/>
      <protection hidden="1"/>
    </xf>
    <xf numFmtId="0" fontId="0" fillId="4" borderId="33" xfId="0" applyFont="1" applyFill="1" applyBorder="1" applyAlignment="1" applyProtection="1">
      <alignment horizontal="center" vertical="center" wrapText="1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8" fillId="0" borderId="51" xfId="0" applyFont="1" applyFill="1" applyBorder="1" applyAlignment="1">
      <alignment horizontal="center" vertical="center"/>
    </xf>
    <xf numFmtId="0" fontId="0" fillId="3" borderId="40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6" fillId="3" borderId="40" xfId="1" applyFont="1" applyFill="1" applyBorder="1" applyAlignment="1" applyProtection="1">
      <alignment horizontal="center" vertical="center"/>
      <protection hidden="1"/>
    </xf>
    <xf numFmtId="0" fontId="6" fillId="3" borderId="31" xfId="1" applyFont="1" applyFill="1" applyBorder="1" applyAlignment="1" applyProtection="1">
      <alignment horizontal="center" vertical="center"/>
      <protection hidden="1"/>
    </xf>
    <xf numFmtId="0" fontId="6" fillId="3" borderId="9" xfId="1" applyFont="1" applyFill="1" applyBorder="1" applyAlignment="1" applyProtection="1">
      <alignment horizontal="center" vertical="center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0" fontId="0" fillId="3" borderId="40" xfId="0" applyFill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5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57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87" xfId="0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66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0" fontId="0" fillId="3" borderId="70" xfId="0" applyFont="1" applyFill="1" applyBorder="1" applyAlignment="1" applyProtection="1">
      <alignment horizontal="center" vertical="center"/>
      <protection hidden="1"/>
    </xf>
    <xf numFmtId="0" fontId="0" fillId="3" borderId="71" xfId="0" applyFont="1" applyFill="1" applyBorder="1" applyAlignment="1" applyProtection="1">
      <alignment horizontal="center" vertic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0" fillId="3" borderId="49" xfId="0" applyFont="1" applyFill="1" applyBorder="1" applyAlignment="1" applyProtection="1">
      <alignment horizontal="center" vertical="center"/>
      <protection hidden="1"/>
    </xf>
    <xf numFmtId="0" fontId="0" fillId="3" borderId="34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1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8" fillId="0" borderId="22" xfId="0" applyFont="1" applyBorder="1" applyAlignment="1" applyProtection="1">
      <alignment horizontal="center" vertical="center"/>
      <protection hidden="1"/>
    </xf>
    <xf numFmtId="0" fontId="25" fillId="0" borderId="3" xfId="0" applyFont="1" applyBorder="1" applyAlignment="1" applyProtection="1">
      <alignment horizontal="center" vertical="center" wrapText="1"/>
      <protection hidden="1"/>
    </xf>
    <xf numFmtId="0" fontId="25" fillId="0" borderId="29" xfId="0" applyFont="1" applyBorder="1" applyAlignment="1" applyProtection="1">
      <alignment horizontal="center" vertical="center" wrapText="1"/>
      <protection hidden="1"/>
    </xf>
    <xf numFmtId="0" fontId="25" fillId="0" borderId="18" xfId="0" applyFont="1" applyBorder="1" applyAlignment="1" applyProtection="1">
      <alignment horizontal="center" vertical="center" wrapText="1"/>
      <protection hidden="1"/>
    </xf>
    <xf numFmtId="0" fontId="0" fillId="0" borderId="23" xfId="0" applyBorder="1" applyProtection="1"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0" fontId="8" fillId="0" borderId="86" xfId="0" applyFont="1" applyBorder="1" applyAlignment="1" applyProtection="1">
      <alignment horizontal="center" vertical="center" wrapText="1"/>
      <protection hidden="1"/>
    </xf>
    <xf numFmtId="0" fontId="15" fillId="10" borderId="26" xfId="0" applyFont="1" applyFill="1" applyBorder="1" applyAlignment="1" applyProtection="1">
      <alignment horizontal="center" vertical="center"/>
      <protection hidden="1"/>
    </xf>
    <xf numFmtId="0" fontId="8" fillId="5" borderId="45" xfId="0" applyFont="1" applyFill="1" applyBorder="1" applyAlignment="1" applyProtection="1">
      <protection hidden="1"/>
    </xf>
    <xf numFmtId="0" fontId="8" fillId="0" borderId="26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Protection="1">
      <protection hidden="1"/>
    </xf>
    <xf numFmtId="0" fontId="12" fillId="0" borderId="36" xfId="0" applyFont="1" applyFill="1" applyBorder="1" applyAlignment="1" applyProtection="1">
      <alignment vertical="center"/>
      <protection hidden="1"/>
    </xf>
    <xf numFmtId="0" fontId="8" fillId="3" borderId="51" xfId="0" applyFont="1" applyFill="1" applyBorder="1" applyAlignment="1" applyProtection="1">
      <alignment horizontal="center" vertical="center"/>
      <protection hidden="1"/>
    </xf>
    <xf numFmtId="3" fontId="8" fillId="4" borderId="69" xfId="0" applyNumberFormat="1" applyFont="1" applyFill="1" applyBorder="1" applyAlignment="1" applyProtection="1">
      <alignment horizontal="center" vertical="center"/>
      <protection hidden="1"/>
    </xf>
    <xf numFmtId="0" fontId="0" fillId="0" borderId="56" xfId="0" applyBorder="1" applyProtection="1">
      <protection hidden="1"/>
    </xf>
    <xf numFmtId="0" fontId="8" fillId="3" borderId="20" xfId="0" applyFont="1" applyFill="1" applyBorder="1" applyAlignment="1" applyProtection="1">
      <alignment horizontal="center" vertical="center"/>
      <protection hidden="1"/>
    </xf>
    <xf numFmtId="1" fontId="8" fillId="4" borderId="64" xfId="0" applyNumberFormat="1" applyFont="1" applyFill="1" applyBorder="1" applyAlignment="1" applyProtection="1">
      <alignment horizontal="center" vertical="center"/>
      <protection hidden="1"/>
    </xf>
    <xf numFmtId="0" fontId="8" fillId="3" borderId="22" xfId="0" applyFont="1" applyFill="1" applyBorder="1" applyAlignment="1" applyProtection="1">
      <alignment horizontal="center" vertical="center"/>
      <protection hidden="1"/>
    </xf>
    <xf numFmtId="0" fontId="8" fillId="3" borderId="70" xfId="0" applyFont="1" applyFill="1" applyBorder="1" applyAlignment="1" applyProtection="1">
      <alignment horizontal="center" vertical="center"/>
      <protection hidden="1"/>
    </xf>
    <xf numFmtId="1" fontId="8" fillId="4" borderId="69" xfId="0" applyNumberFormat="1" applyFont="1" applyFill="1" applyBorder="1" applyAlignment="1" applyProtection="1">
      <alignment horizontal="center" vertical="center"/>
      <protection hidden="1"/>
    </xf>
    <xf numFmtId="0" fontId="8" fillId="3" borderId="71" xfId="0" applyFont="1" applyFill="1" applyBorder="1" applyAlignment="1" applyProtection="1">
      <alignment horizontal="center" vertical="center"/>
      <protection hidden="1"/>
    </xf>
    <xf numFmtId="1" fontId="8" fillId="4" borderId="67" xfId="0" applyNumberFormat="1" applyFont="1" applyFill="1" applyBorder="1" applyAlignment="1" applyProtection="1">
      <alignment horizontal="center" vertical="center"/>
      <protection hidden="1"/>
    </xf>
    <xf numFmtId="1" fontId="8" fillId="4" borderId="68" xfId="0" applyNumberFormat="1" applyFont="1" applyFill="1" applyBorder="1" applyAlignment="1" applyProtection="1">
      <alignment horizontal="center" vertical="center"/>
      <protection hidden="1"/>
    </xf>
    <xf numFmtId="1" fontId="8" fillId="4" borderId="69" xfId="0" applyNumberFormat="1" applyFont="1" applyFill="1" applyBorder="1" applyAlignment="1" applyProtection="1">
      <alignment horizontal="center" vertical="center"/>
      <protection hidden="1"/>
    </xf>
    <xf numFmtId="1" fontId="8" fillId="3" borderId="69" xfId="0" applyNumberFormat="1" applyFont="1" applyFill="1" applyBorder="1" applyAlignment="1" applyProtection="1">
      <alignment horizontal="center" vertical="center"/>
      <protection hidden="1"/>
    </xf>
    <xf numFmtId="0" fontId="8" fillId="3" borderId="65" xfId="0" applyFont="1" applyFill="1" applyBorder="1" applyAlignment="1" applyProtection="1">
      <alignment horizontal="center" vertical="center"/>
      <protection hidden="1"/>
    </xf>
    <xf numFmtId="0" fontId="8" fillId="5" borderId="26" xfId="0" applyFont="1" applyFill="1" applyBorder="1" applyAlignment="1" applyProtection="1">
      <alignment horizontal="center" vertical="center"/>
      <protection hidden="1"/>
    </xf>
    <xf numFmtId="1" fontId="8" fillId="4" borderId="45" xfId="0" applyNumberFormat="1" applyFont="1" applyFill="1" applyBorder="1" applyAlignment="1" applyProtection="1">
      <alignment horizontal="center" vertical="center"/>
      <protection hidden="1"/>
    </xf>
    <xf numFmtId="0" fontId="8" fillId="3" borderId="94" xfId="0" applyFont="1" applyFill="1" applyBorder="1" applyAlignment="1" applyProtection="1">
      <alignment horizontal="center" vertical="center"/>
      <protection hidden="1"/>
    </xf>
    <xf numFmtId="0" fontId="8" fillId="3" borderId="59" xfId="0" applyFont="1" applyFill="1" applyBorder="1" applyAlignment="1" applyProtection="1">
      <alignment horizontal="center" vertical="center"/>
      <protection hidden="1"/>
    </xf>
    <xf numFmtId="0" fontId="8" fillId="3" borderId="95" xfId="0" applyFont="1" applyFill="1" applyBorder="1" applyAlignment="1" applyProtection="1">
      <alignment horizontal="center" vertical="center"/>
      <protection hidden="1"/>
    </xf>
    <xf numFmtId="0" fontId="8" fillId="5" borderId="36" xfId="0" applyFont="1" applyFill="1" applyBorder="1" applyAlignment="1" applyProtection="1">
      <alignment vertical="center"/>
      <protection hidden="1"/>
    </xf>
    <xf numFmtId="0" fontId="8" fillId="5" borderId="56" xfId="0" applyFont="1" applyFill="1" applyBorder="1" applyAlignment="1" applyProtection="1">
      <alignment vertical="center"/>
      <protection hidden="1"/>
    </xf>
    <xf numFmtId="1" fontId="8" fillId="4" borderId="88" xfId="0" applyNumberFormat="1" applyFont="1" applyFill="1" applyBorder="1" applyAlignment="1" applyProtection="1">
      <alignment horizontal="center" vertical="center"/>
      <protection hidden="1"/>
    </xf>
    <xf numFmtId="0" fontId="8" fillId="5" borderId="87" xfId="0" applyFont="1" applyFill="1" applyBorder="1" applyAlignment="1" applyProtection="1">
      <alignment vertical="center"/>
      <protection hidden="1"/>
    </xf>
    <xf numFmtId="1" fontId="8" fillId="3" borderId="85" xfId="0" applyNumberFormat="1" applyFont="1" applyFill="1" applyBorder="1" applyAlignment="1" applyProtection="1">
      <alignment horizontal="center" vertical="center"/>
      <protection hidden="1"/>
    </xf>
    <xf numFmtId="0" fontId="8" fillId="3" borderId="24" xfId="0" applyFont="1" applyFill="1" applyBorder="1" applyAlignment="1" applyProtection="1">
      <alignment horizontal="center" vertical="center"/>
      <protection hidden="1"/>
    </xf>
    <xf numFmtId="3" fontId="8" fillId="3" borderId="85" xfId="0" applyNumberFormat="1" applyFont="1" applyFill="1" applyBorder="1" applyAlignment="1" applyProtection="1">
      <alignment horizontal="center" vertical="center"/>
      <protection hidden="1"/>
    </xf>
    <xf numFmtId="3" fontId="8" fillId="3" borderId="93" xfId="0" applyNumberFormat="1" applyFont="1" applyFill="1" applyBorder="1" applyAlignment="1" applyProtection="1">
      <alignment horizontal="center" vertical="center"/>
      <protection hidden="1"/>
    </xf>
    <xf numFmtId="3" fontId="8" fillId="4" borderId="88" xfId="0" applyNumberFormat="1" applyFont="1" applyFill="1" applyBorder="1" applyAlignment="1" applyProtection="1">
      <alignment horizontal="center" vertical="center"/>
      <protection hidden="1"/>
    </xf>
    <xf numFmtId="3" fontId="8" fillId="4" borderId="37" xfId="0" applyNumberFormat="1" applyFont="1" applyFill="1" applyBorder="1" applyAlignment="1" applyProtection="1">
      <alignment horizontal="center" vertical="center"/>
      <protection hidden="1"/>
    </xf>
    <xf numFmtId="3" fontId="8" fillId="4" borderId="63" xfId="0" applyNumberFormat="1" applyFont="1" applyFill="1" applyBorder="1" applyAlignment="1" applyProtection="1">
      <alignment horizontal="center" vertical="center"/>
      <protection hidden="1"/>
    </xf>
    <xf numFmtId="3" fontId="8" fillId="3" borderId="88" xfId="0" applyNumberFormat="1" applyFont="1" applyFill="1" applyBorder="1" applyAlignment="1" applyProtection="1">
      <alignment horizontal="center" vertical="center"/>
      <protection hidden="1"/>
    </xf>
    <xf numFmtId="3" fontId="8" fillId="4" borderId="86" xfId="0" applyNumberFormat="1" applyFont="1" applyFill="1" applyBorder="1" applyAlignment="1" applyProtection="1">
      <alignment horizontal="center" vertical="center"/>
      <protection hidden="1"/>
    </xf>
    <xf numFmtId="0" fontId="8" fillId="0" borderId="36" xfId="0" applyFont="1" applyFill="1" applyBorder="1" applyAlignment="1" applyProtection="1">
      <alignment vertical="center"/>
      <protection hidden="1"/>
    </xf>
    <xf numFmtId="0" fontId="8" fillId="3" borderId="26" xfId="0" applyFont="1" applyFill="1" applyBorder="1" applyAlignment="1" applyProtection="1">
      <alignment horizontal="center" vertical="center"/>
      <protection hidden="1"/>
    </xf>
    <xf numFmtId="1" fontId="8" fillId="4" borderId="85" xfId="0" applyNumberFormat="1" applyFont="1" applyFill="1" applyBorder="1" applyAlignment="1" applyProtection="1">
      <alignment horizontal="center" vertical="center"/>
      <protection hidden="1"/>
    </xf>
    <xf numFmtId="1" fontId="8" fillId="3" borderId="93" xfId="0" applyNumberFormat="1" applyFont="1" applyFill="1" applyBorder="1" applyAlignment="1" applyProtection="1">
      <alignment horizontal="center" vertical="center"/>
      <protection hidden="1"/>
    </xf>
    <xf numFmtId="1" fontId="8" fillId="3" borderId="96" xfId="0" applyNumberFormat="1" applyFont="1" applyFill="1" applyBorder="1" applyAlignment="1" applyProtection="1">
      <alignment horizontal="center" vertical="center"/>
      <protection hidden="1"/>
    </xf>
    <xf numFmtId="1" fontId="8" fillId="4" borderId="39" xfId="0" applyNumberFormat="1" applyFont="1" applyFill="1" applyBorder="1" applyAlignment="1" applyProtection="1">
      <alignment horizontal="center" vertical="center"/>
      <protection hidden="1"/>
    </xf>
    <xf numFmtId="1" fontId="8" fillId="3" borderId="37" xfId="0" applyNumberFormat="1" applyFont="1" applyFill="1" applyBorder="1" applyAlignment="1" applyProtection="1">
      <alignment horizontal="center" vertical="center"/>
      <protection hidden="1"/>
    </xf>
    <xf numFmtId="1" fontId="8" fillId="4" borderId="37" xfId="0" applyNumberFormat="1" applyFont="1" applyFill="1" applyBorder="1" applyAlignment="1" applyProtection="1">
      <alignment horizontal="center" vertical="center"/>
      <protection hidden="1"/>
    </xf>
    <xf numFmtId="1" fontId="8" fillId="3" borderId="63" xfId="0" applyNumberFormat="1" applyFont="1" applyFill="1" applyBorder="1" applyAlignment="1" applyProtection="1">
      <alignment horizontal="center" vertical="center"/>
      <protection hidden="1"/>
    </xf>
    <xf numFmtId="1" fontId="8" fillId="3" borderId="56" xfId="0" applyNumberFormat="1" applyFont="1" applyFill="1" applyBorder="1" applyAlignment="1" applyProtection="1">
      <alignment horizontal="center" vertical="center"/>
      <protection hidden="1"/>
    </xf>
    <xf numFmtId="1" fontId="8" fillId="3" borderId="88" xfId="0" applyNumberFormat="1" applyFont="1" applyFill="1" applyBorder="1" applyAlignment="1" applyProtection="1">
      <alignment horizontal="center" vertical="center"/>
      <protection hidden="1"/>
    </xf>
    <xf numFmtId="0" fontId="8" fillId="0" borderId="56" xfId="0" applyFont="1" applyFill="1" applyBorder="1" applyAlignment="1" applyProtection="1">
      <alignment vertical="center"/>
      <protection hidden="1"/>
    </xf>
    <xf numFmtId="1" fontId="8" fillId="4" borderId="96" xfId="0" applyNumberFormat="1" applyFont="1" applyFill="1" applyBorder="1" applyAlignment="1" applyProtection="1">
      <alignment horizontal="center" vertical="center"/>
      <protection hidden="1"/>
    </xf>
    <xf numFmtId="0" fontId="8" fillId="0" borderId="45" xfId="0" applyFont="1" applyFill="1" applyBorder="1" applyAlignment="1" applyProtection="1">
      <alignment vertical="center"/>
      <protection hidden="1"/>
    </xf>
    <xf numFmtId="1" fontId="8" fillId="4" borderId="87" xfId="0" applyNumberFormat="1" applyFont="1" applyFill="1" applyBorder="1" applyAlignment="1" applyProtection="1">
      <alignment horizontal="center" vertical="center"/>
      <protection hidden="1"/>
    </xf>
    <xf numFmtId="1" fontId="8" fillId="3" borderId="38" xfId="0" applyNumberFormat="1" applyFont="1" applyFill="1" applyBorder="1" applyAlignment="1" applyProtection="1">
      <alignment horizontal="center" vertical="center"/>
      <protection hidden="1"/>
    </xf>
    <xf numFmtId="0" fontId="8" fillId="0" borderId="94" xfId="0" applyFont="1" applyFill="1" applyBorder="1" applyAlignment="1" applyProtection="1">
      <alignment horizontal="center" vertical="center"/>
      <protection hidden="1"/>
    </xf>
    <xf numFmtId="0" fontId="8" fillId="0" borderId="45" xfId="0" applyFont="1" applyFill="1" applyBorder="1" applyAlignment="1" applyProtection="1">
      <alignment vertical="center" wrapText="1"/>
      <protection hidden="1"/>
    </xf>
    <xf numFmtId="0" fontId="8" fillId="0" borderId="94" xfId="0" applyFont="1" applyFill="1" applyBorder="1" applyAlignment="1" applyProtection="1">
      <alignment horizontal="center" vertical="center"/>
      <protection hidden="1"/>
    </xf>
    <xf numFmtId="2" fontId="6" fillId="0" borderId="0" xfId="2" applyNumberFormat="1" applyFont="1" applyFill="1" applyBorder="1" applyProtection="1">
      <protection hidden="1"/>
    </xf>
    <xf numFmtId="2" fontId="6" fillId="0" borderId="0" xfId="2" applyNumberFormat="1" applyFont="1" applyFill="1" applyBorder="1" applyAlignment="1" applyProtection="1">
      <alignment horizontal="center" vertical="center"/>
      <protection hidden="1"/>
    </xf>
    <xf numFmtId="1" fontId="8" fillId="0" borderId="45" xfId="0" applyNumberFormat="1" applyFont="1" applyFill="1" applyBorder="1" applyAlignment="1" applyProtection="1">
      <alignment horizontal="center" vertical="center"/>
      <protection hidden="1"/>
    </xf>
    <xf numFmtId="0" fontId="8" fillId="0" borderId="51" xfId="0" applyFont="1" applyBorder="1" applyAlignment="1" applyProtection="1">
      <alignment horizontal="center" vertical="center"/>
      <protection hidden="1"/>
    </xf>
    <xf numFmtId="0" fontId="8" fillId="0" borderId="64" xfId="0" applyFont="1" applyBorder="1" applyAlignment="1" applyProtection="1">
      <alignment horizontal="center" vertical="center" wrapText="1"/>
      <protection hidden="1"/>
    </xf>
    <xf numFmtId="0" fontId="8" fillId="0" borderId="36" xfId="0" applyFont="1" applyFill="1" applyBorder="1" applyAlignment="1" applyProtection="1">
      <alignment wrapText="1"/>
      <protection hidden="1"/>
    </xf>
    <xf numFmtId="0" fontId="8" fillId="0" borderId="36" xfId="0" applyFont="1" applyFill="1" applyBorder="1" applyAlignment="1" applyProtection="1">
      <alignment vertical="center" wrapText="1"/>
      <protection hidden="1"/>
    </xf>
    <xf numFmtId="0" fontId="8" fillId="4" borderId="85" xfId="0" applyFont="1" applyFill="1" applyBorder="1" applyAlignment="1" applyProtection="1">
      <alignment horizontal="center" vertical="center"/>
      <protection hidden="1"/>
    </xf>
    <xf numFmtId="0" fontId="8" fillId="3" borderId="55" xfId="0" applyFont="1" applyFill="1" applyBorder="1" applyAlignment="1" applyProtection="1">
      <alignment horizontal="center" vertical="center"/>
      <protection hidden="1"/>
    </xf>
    <xf numFmtId="0" fontId="8" fillId="4" borderId="88" xfId="0" applyFont="1" applyFill="1" applyBorder="1" applyAlignment="1" applyProtection="1">
      <alignment horizontal="center" vertical="center"/>
      <protection hidden="1"/>
    </xf>
    <xf numFmtId="0" fontId="8" fillId="4" borderId="86" xfId="0" applyFont="1" applyFill="1" applyBorder="1" applyAlignment="1" applyProtection="1">
      <alignment horizontal="center" vertical="center"/>
      <protection hidden="1"/>
    </xf>
    <xf numFmtId="0" fontId="8" fillId="4" borderId="45" xfId="0" applyFont="1" applyFill="1" applyBorder="1" applyAlignment="1" applyProtection="1">
      <alignment horizontal="center" vertical="center"/>
      <protection hidden="1"/>
    </xf>
    <xf numFmtId="1" fontId="8" fillId="3" borderId="86" xfId="0" applyNumberFormat="1" applyFont="1" applyFill="1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24" fillId="0" borderId="0" xfId="0" applyFont="1" applyBorder="1" applyProtection="1">
      <protection hidden="1"/>
    </xf>
    <xf numFmtId="0" fontId="21" fillId="10" borderId="94" xfId="0" applyFont="1" applyFill="1" applyBorder="1" applyAlignment="1" applyProtection="1">
      <alignment horizontal="center" vertical="center"/>
      <protection hidden="1"/>
    </xf>
    <xf numFmtId="0" fontId="21" fillId="10" borderId="87" xfId="0" applyFont="1" applyFill="1" applyBorder="1" applyAlignment="1" applyProtection="1">
      <alignment horizontal="center" vertical="center"/>
      <protection hidden="1"/>
    </xf>
    <xf numFmtId="1" fontId="8" fillId="3" borderId="64" xfId="0" applyNumberFormat="1" applyFont="1" applyFill="1" applyBorder="1" applyAlignment="1" applyProtection="1">
      <alignment horizontal="center" vertical="center"/>
      <protection hidden="1"/>
    </xf>
    <xf numFmtId="0" fontId="8" fillId="3" borderId="17" xfId="0" applyFont="1" applyFill="1" applyBorder="1" applyAlignment="1" applyProtection="1">
      <alignment horizontal="center" vertical="center"/>
      <protection hidden="1"/>
    </xf>
    <xf numFmtId="0" fontId="8" fillId="3" borderId="11" xfId="0" applyFont="1" applyFill="1" applyBorder="1" applyAlignment="1" applyProtection="1">
      <alignment horizontal="center" vertical="center"/>
      <protection hidden="1"/>
    </xf>
    <xf numFmtId="0" fontId="8" fillId="3" borderId="14" xfId="0" applyFont="1" applyFill="1" applyBorder="1" applyAlignment="1" applyProtection="1">
      <alignment horizontal="center" vertical="center"/>
      <protection hidden="1"/>
    </xf>
    <xf numFmtId="0" fontId="8" fillId="0" borderId="87" xfId="0" applyFont="1" applyFill="1" applyBorder="1" applyAlignment="1" applyProtection="1">
      <alignment vertical="center"/>
      <protection hidden="1"/>
    </xf>
    <xf numFmtId="0" fontId="8" fillId="3" borderId="16" xfId="0" applyFont="1" applyFill="1" applyBorder="1" applyAlignment="1" applyProtection="1">
      <alignment horizontal="center" vertical="center"/>
      <protection hidden="1"/>
    </xf>
    <xf numFmtId="1" fontId="8" fillId="3" borderId="68" xfId="0" applyNumberFormat="1" applyFont="1" applyFill="1" applyBorder="1" applyAlignment="1" applyProtection="1">
      <alignment horizontal="center" vertical="center"/>
      <protection hidden="1"/>
    </xf>
    <xf numFmtId="0" fontId="8" fillId="3" borderId="20" xfId="0" applyFont="1" applyFill="1" applyBorder="1" applyAlignment="1" applyProtection="1">
      <alignment vertical="center"/>
      <protection hidden="1"/>
    </xf>
    <xf numFmtId="0" fontId="8" fillId="0" borderId="36" xfId="0" applyFont="1" applyBorder="1" applyAlignment="1" applyProtection="1">
      <protection hidden="1"/>
    </xf>
    <xf numFmtId="0" fontId="8" fillId="5" borderId="36" xfId="0" applyFont="1" applyFill="1" applyBorder="1" applyAlignment="1" applyProtection="1">
      <protection hidden="1"/>
    </xf>
    <xf numFmtId="0" fontId="0" fillId="3" borderId="20" xfId="0" applyFill="1" applyBorder="1" applyAlignment="1" applyProtection="1">
      <alignment horizontal="center" vertical="center"/>
      <protection hidden="1"/>
    </xf>
    <xf numFmtId="0" fontId="0" fillId="3" borderId="24" xfId="0" applyFill="1" applyBorder="1" applyAlignment="1" applyProtection="1">
      <alignment horizontal="center" vertical="center"/>
      <protection hidden="1"/>
    </xf>
    <xf numFmtId="0" fontId="24" fillId="3" borderId="2" xfId="0" applyFont="1" applyFill="1" applyBorder="1" applyProtection="1">
      <protection hidden="1"/>
    </xf>
    <xf numFmtId="1" fontId="25" fillId="4" borderId="2" xfId="0" applyNumberFormat="1" applyFont="1" applyFill="1" applyBorder="1" applyAlignment="1" applyProtection="1">
      <alignment horizontal="center" vertical="center"/>
      <protection hidden="1"/>
    </xf>
    <xf numFmtId="0" fontId="8" fillId="3" borderId="88" xfId="0" applyFont="1" applyFill="1" applyBorder="1" applyAlignment="1" applyProtection="1">
      <alignment horizontal="center" vertical="center"/>
      <protection hidden="1"/>
    </xf>
    <xf numFmtId="3" fontId="25" fillId="4" borderId="10" xfId="0" applyNumberFormat="1" applyFont="1" applyFill="1" applyBorder="1" applyAlignment="1" applyProtection="1">
      <alignment horizontal="center" vertical="center"/>
      <protection hidden="1"/>
    </xf>
    <xf numFmtId="0" fontId="24" fillId="3" borderId="94" xfId="0" applyFont="1" applyFill="1" applyBorder="1" applyAlignment="1" applyProtection="1">
      <alignment horizontal="center" vertical="center"/>
      <protection hidden="1"/>
    </xf>
    <xf numFmtId="0" fontId="24" fillId="3" borderId="59" xfId="0" applyFont="1" applyFill="1" applyBorder="1" applyAlignment="1" applyProtection="1">
      <alignment horizontal="center" vertical="center"/>
      <protection hidden="1"/>
    </xf>
    <xf numFmtId="0" fontId="24" fillId="3" borderId="95" xfId="0" applyFont="1" applyFill="1" applyBorder="1" applyAlignment="1" applyProtection="1">
      <alignment horizontal="center" vertical="center"/>
      <protection hidden="1"/>
    </xf>
    <xf numFmtId="1" fontId="25" fillId="4" borderId="13" xfId="0" applyNumberFormat="1" applyFont="1" applyFill="1" applyBorder="1" applyAlignment="1" applyProtection="1">
      <alignment horizontal="center" vertical="center"/>
      <protection hidden="1"/>
    </xf>
    <xf numFmtId="1" fontId="25" fillId="4" borderId="35" xfId="0" applyNumberFormat="1" applyFont="1" applyFill="1" applyBorder="1" applyAlignment="1" applyProtection="1">
      <alignment horizontal="center" vertical="center"/>
      <protection hidden="1"/>
    </xf>
    <xf numFmtId="1" fontId="25" fillId="4" borderId="52" xfId="0" applyNumberFormat="1" applyFont="1" applyFill="1" applyBorder="1" applyAlignment="1" applyProtection="1">
      <alignment horizontal="center" vertical="center"/>
      <protection hidden="1"/>
    </xf>
    <xf numFmtId="3" fontId="25" fillId="4" borderId="13" xfId="0" applyNumberFormat="1" applyFont="1" applyFill="1" applyBorder="1" applyAlignment="1" applyProtection="1">
      <alignment horizontal="center" vertical="center"/>
      <protection hidden="1"/>
    </xf>
    <xf numFmtId="3" fontId="25" fillId="4" borderId="16" xfId="0" applyNumberFormat="1" applyFont="1" applyFill="1" applyBorder="1" applyAlignment="1" applyProtection="1">
      <alignment horizontal="center" vertical="center"/>
      <protection hidden="1"/>
    </xf>
    <xf numFmtId="3" fontId="25" fillId="4" borderId="42" xfId="0" applyNumberFormat="1" applyFont="1" applyFill="1" applyBorder="1" applyAlignment="1" applyProtection="1">
      <alignment horizontal="center" vertical="center"/>
      <protection hidden="1"/>
    </xf>
    <xf numFmtId="3" fontId="25" fillId="4" borderId="66" xfId="0" applyNumberFormat="1" applyFont="1" applyFill="1" applyBorder="1" applyAlignment="1" applyProtection="1">
      <alignment horizontal="center" vertical="center"/>
      <protection hidden="1"/>
    </xf>
    <xf numFmtId="0" fontId="24" fillId="3" borderId="58" xfId="0" applyNumberFormat="1" applyFont="1" applyFill="1" applyBorder="1" applyAlignment="1" applyProtection="1">
      <alignment horizontal="center" vertical="center"/>
      <protection hidden="1"/>
    </xf>
    <xf numFmtId="0" fontId="24" fillId="3" borderId="14" xfId="0" applyNumberFormat="1" applyFont="1" applyFill="1" applyBorder="1" applyAlignment="1" applyProtection="1">
      <alignment horizontal="center" vertical="center"/>
      <protection hidden="1"/>
    </xf>
    <xf numFmtId="0" fontId="24" fillId="3" borderId="53" xfId="0" applyNumberFormat="1" applyFont="1" applyFill="1" applyBorder="1" applyAlignment="1" applyProtection="1">
      <alignment horizontal="center" vertical="center"/>
      <protection hidden="1"/>
    </xf>
    <xf numFmtId="1" fontId="25" fillId="4" borderId="10" xfId="0" applyNumberFormat="1" applyFont="1" applyFill="1" applyBorder="1" applyAlignment="1">
      <alignment horizontal="center" vertical="center"/>
    </xf>
    <xf numFmtId="1" fontId="25" fillId="4" borderId="16" xfId="0" applyNumberFormat="1" applyFont="1" applyFill="1" applyBorder="1" applyAlignment="1">
      <alignment horizontal="center" vertical="center"/>
    </xf>
    <xf numFmtId="0" fontId="24" fillId="3" borderId="19" xfId="0" applyFont="1" applyFill="1" applyBorder="1" applyAlignment="1" applyProtection="1">
      <alignment horizontal="center" vertical="center"/>
      <protection hidden="1"/>
    </xf>
    <xf numFmtId="0" fontId="24" fillId="3" borderId="32" xfId="0" applyFont="1" applyFill="1" applyBorder="1" applyAlignment="1" applyProtection="1">
      <alignment horizontal="center" vertical="center"/>
      <protection hidden="1"/>
    </xf>
    <xf numFmtId="0" fontId="24" fillId="3" borderId="18" xfId="0" applyFont="1" applyFill="1" applyBorder="1" applyAlignment="1" applyProtection="1">
      <alignment horizontal="center" vertical="center"/>
      <protection hidden="1"/>
    </xf>
    <xf numFmtId="0" fontId="24" fillId="3" borderId="14" xfId="0" applyFont="1" applyFill="1" applyBorder="1" applyAlignment="1" applyProtection="1">
      <alignment horizontal="center" vertical="center" wrapText="1"/>
      <protection hidden="1"/>
    </xf>
    <xf numFmtId="0" fontId="24" fillId="3" borderId="95" xfId="0" applyFont="1" applyFill="1" applyBorder="1" applyAlignment="1" applyProtection="1">
      <alignment horizontal="center" vertical="center"/>
      <protection hidden="1"/>
    </xf>
    <xf numFmtId="0" fontId="24" fillId="3" borderId="19" xfId="0" applyFont="1" applyFill="1" applyBorder="1" applyAlignment="1" applyProtection="1">
      <alignment horizontal="center" vertical="center" wrapText="1"/>
      <protection hidden="1"/>
    </xf>
    <xf numFmtId="0" fontId="24" fillId="3" borderId="32" xfId="0" applyFont="1" applyFill="1" applyBorder="1" applyAlignment="1" applyProtection="1">
      <alignment horizontal="center" vertical="center" wrapText="1"/>
      <protection hidden="1"/>
    </xf>
    <xf numFmtId="3" fontId="25" fillId="4" borderId="35" xfId="0" applyNumberFormat="1" applyFont="1" applyFill="1" applyBorder="1" applyAlignment="1" applyProtection="1">
      <alignment horizontal="center" vertical="center"/>
      <protection hidden="1"/>
    </xf>
    <xf numFmtId="3" fontId="25" fillId="4" borderId="25" xfId="0" applyNumberFormat="1" applyFont="1" applyFill="1" applyBorder="1" applyAlignment="1" applyProtection="1">
      <alignment horizontal="center" vertical="center"/>
      <protection hidden="1"/>
    </xf>
    <xf numFmtId="3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Alignment="1" applyProtection="1">
      <alignment horizontal="center" vertical="center"/>
      <protection hidden="1"/>
    </xf>
    <xf numFmtId="3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15" fillId="10" borderId="30" xfId="0" applyFont="1" applyFill="1" applyBorder="1" applyAlignment="1" applyProtection="1">
      <alignment horizontal="center" vertical="center"/>
      <protection hidden="1"/>
    </xf>
    <xf numFmtId="0" fontId="30" fillId="0" borderId="26" xfId="0" applyFont="1" applyFill="1" applyBorder="1" applyAlignment="1" applyProtection="1">
      <alignment horizontal="center" vertical="center"/>
      <protection hidden="1"/>
    </xf>
    <xf numFmtId="0" fontId="30" fillId="0" borderId="4" xfId="0" applyFont="1" applyFill="1" applyBorder="1" applyAlignment="1" applyProtection="1">
      <alignment horizontal="center" vertical="center"/>
      <protection hidden="1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0" fontId="30" fillId="0" borderId="59" xfId="0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Border="1" applyAlignment="1" applyProtection="1">
      <alignment horizontal="center" vertical="center"/>
      <protection hidden="1"/>
    </xf>
    <xf numFmtId="0" fontId="30" fillId="0" borderId="18" xfId="0" applyFont="1" applyBorder="1" applyAlignment="1" applyProtection="1">
      <alignment horizontal="center" vertical="center"/>
      <protection hidden="1"/>
    </xf>
    <xf numFmtId="0" fontId="30" fillId="0" borderId="29" xfId="0" applyFont="1" applyBorder="1" applyAlignment="1" applyProtection="1">
      <alignment horizontal="center" vertical="center"/>
      <protection hidden="1"/>
    </xf>
    <xf numFmtId="0" fontId="30" fillId="0" borderId="48" xfId="0" applyFont="1" applyBorder="1" applyAlignment="1" applyProtection="1">
      <alignment horizontal="center" vertical="center"/>
      <protection hidden="1"/>
    </xf>
    <xf numFmtId="0" fontId="31" fillId="4" borderId="7" xfId="0" applyFont="1" applyFill="1" applyBorder="1" applyAlignment="1" applyProtection="1">
      <alignment horizontal="center" vertical="center" wrapText="1"/>
      <protection hidden="1"/>
    </xf>
    <xf numFmtId="0" fontId="31" fillId="4" borderId="19" xfId="0" applyFont="1" applyFill="1" applyBorder="1" applyAlignment="1" applyProtection="1">
      <alignment horizontal="center" vertical="center" wrapText="1"/>
      <protection hidden="1"/>
    </xf>
    <xf numFmtId="0" fontId="31" fillId="4" borderId="18" xfId="0" applyFont="1" applyFill="1" applyBorder="1" applyAlignment="1" applyProtection="1">
      <alignment horizontal="center" vertical="center" wrapText="1"/>
      <protection hidden="1"/>
    </xf>
    <xf numFmtId="0" fontId="31" fillId="4" borderId="1" xfId="0" applyFont="1" applyFill="1" applyBorder="1" applyAlignment="1" applyProtection="1">
      <alignment horizontal="center" vertical="center" wrapText="1"/>
      <protection hidden="1"/>
    </xf>
    <xf numFmtId="0" fontId="31" fillId="4" borderId="50" xfId="0" applyFont="1" applyFill="1" applyBorder="1" applyAlignment="1" applyProtection="1">
      <alignment horizontal="center" vertical="center" wrapText="1"/>
      <protection hidden="1"/>
    </xf>
    <xf numFmtId="0" fontId="31" fillId="4" borderId="21" xfId="0" applyFont="1" applyFill="1" applyBorder="1" applyAlignment="1" applyProtection="1">
      <alignment horizontal="center" vertical="center" wrapText="1"/>
      <protection hidden="1"/>
    </xf>
    <xf numFmtId="0" fontId="31" fillId="4" borderId="21" xfId="0" applyFont="1" applyFill="1" applyBorder="1" applyAlignment="1" applyProtection="1">
      <alignment horizontal="center" vertical="center"/>
      <protection hidden="1"/>
    </xf>
    <xf numFmtId="0" fontId="31" fillId="4" borderId="0" xfId="0" applyFont="1" applyFill="1" applyBorder="1" applyAlignment="1" applyProtection="1">
      <alignment horizontal="center" vertical="center"/>
      <protection hidden="1"/>
    </xf>
    <xf numFmtId="0" fontId="31" fillId="4" borderId="28" xfId="0" applyFont="1" applyFill="1" applyBorder="1" applyAlignment="1" applyProtection="1">
      <alignment horizontal="center" vertical="center" wrapText="1"/>
      <protection hidden="1"/>
    </xf>
    <xf numFmtId="0" fontId="31" fillId="4" borderId="29" xfId="0" applyFont="1" applyFill="1" applyBorder="1" applyAlignment="1" applyProtection="1">
      <alignment horizontal="center" vertical="center" wrapText="1"/>
      <protection hidden="1"/>
    </xf>
    <xf numFmtId="0" fontId="31" fillId="4" borderId="2" xfId="0" applyFont="1" applyFill="1" applyBorder="1" applyAlignment="1" applyProtection="1">
      <alignment horizontal="center" vertical="center" wrapText="1"/>
      <protection hidden="1"/>
    </xf>
    <xf numFmtId="0" fontId="31" fillId="4" borderId="3" xfId="0" applyFont="1" applyFill="1" applyBorder="1" applyAlignment="1" applyProtection="1">
      <alignment horizontal="center" vertical="center" wrapText="1"/>
      <protection hidden="1"/>
    </xf>
    <xf numFmtId="0" fontId="31" fillId="4" borderId="40" xfId="0" applyFont="1" applyFill="1" applyBorder="1" applyAlignment="1" applyProtection="1">
      <alignment horizontal="center" vertical="center"/>
      <protection hidden="1"/>
    </xf>
    <xf numFmtId="0" fontId="31" fillId="4" borderId="32" xfId="0" applyFont="1" applyFill="1" applyBorder="1" applyAlignment="1" applyProtection="1">
      <alignment horizontal="center" vertical="center" wrapText="1"/>
      <protection hidden="1"/>
    </xf>
    <xf numFmtId="0" fontId="31" fillId="4" borderId="5" xfId="0" applyFont="1" applyFill="1" applyBorder="1" applyAlignment="1" applyProtection="1">
      <alignment horizontal="center" vertical="center" wrapText="1"/>
      <protection hidden="1"/>
    </xf>
    <xf numFmtId="0" fontId="31" fillId="4" borderId="27" xfId="0" applyFont="1" applyFill="1" applyBorder="1" applyAlignment="1" applyProtection="1">
      <alignment horizontal="center" vertical="center" wrapText="1"/>
      <protection hidden="1"/>
    </xf>
    <xf numFmtId="164" fontId="31" fillId="4" borderId="5" xfId="0" applyNumberFormat="1" applyFont="1" applyFill="1" applyBorder="1" applyAlignment="1" applyProtection="1">
      <alignment horizontal="center" vertical="center" wrapText="1"/>
      <protection hidden="1"/>
    </xf>
    <xf numFmtId="164" fontId="31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31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31" fillId="4" borderId="3" xfId="0" applyNumberFormat="1" applyFont="1" applyFill="1" applyBorder="1" applyAlignment="1" applyProtection="1">
      <alignment horizontal="center" vertical="center" wrapText="1"/>
      <protection hidden="1"/>
    </xf>
    <xf numFmtId="164" fontId="31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31" fillId="4" borderId="18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5" xfId="0" applyFont="1" applyFill="1" applyBorder="1" applyAlignment="1" applyProtection="1">
      <alignment horizontal="center" vertical="center"/>
      <protection hidden="1"/>
    </xf>
    <xf numFmtId="164" fontId="31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4" xfId="0" applyFont="1" applyFill="1" applyBorder="1" applyAlignment="1" applyProtection="1">
      <alignment horizontal="center" vertical="center"/>
      <protection hidden="1"/>
    </xf>
    <xf numFmtId="0" fontId="31" fillId="4" borderId="1" xfId="0" applyFont="1" applyFill="1" applyBorder="1" applyAlignment="1" applyProtection="1">
      <alignment horizontal="center" vertical="center" wrapText="1"/>
      <protection hidden="1"/>
    </xf>
    <xf numFmtId="0" fontId="31" fillId="4" borderId="3" xfId="0" applyFont="1" applyFill="1" applyBorder="1" applyAlignment="1" applyProtection="1">
      <alignment horizontal="center" vertical="center" wrapText="1"/>
      <protection hidden="1"/>
    </xf>
    <xf numFmtId="0" fontId="31" fillId="4" borderId="1" xfId="0" applyFont="1" applyFill="1" applyBorder="1" applyAlignment="1" applyProtection="1">
      <alignment horizontal="center" vertical="center"/>
      <protection hidden="1"/>
    </xf>
    <xf numFmtId="0" fontId="31" fillId="4" borderId="3" xfId="0" applyFont="1" applyFill="1" applyBorder="1" applyAlignment="1" applyProtection="1">
      <alignment horizontal="center" vertical="center"/>
      <protection hidden="1"/>
    </xf>
    <xf numFmtId="0" fontId="31" fillId="4" borderId="12" xfId="0" applyFont="1" applyFill="1" applyBorder="1" applyAlignment="1" applyProtection="1">
      <alignment horizontal="center" vertical="center"/>
      <protection hidden="1"/>
    </xf>
    <xf numFmtId="0" fontId="32" fillId="4" borderId="41" xfId="0" applyFont="1" applyFill="1" applyBorder="1" applyAlignment="1" applyProtection="1">
      <alignment horizontal="center" vertical="center" wrapText="1"/>
      <protection hidden="1"/>
    </xf>
    <xf numFmtId="0" fontId="32" fillId="4" borderId="33" xfId="0" applyFont="1" applyFill="1" applyBorder="1" applyAlignment="1" applyProtection="1">
      <alignment horizontal="center" vertical="center" wrapText="1"/>
      <protection hidden="1"/>
    </xf>
    <xf numFmtId="0" fontId="32" fillId="4" borderId="19" xfId="0" applyFont="1" applyFill="1" applyBorder="1" applyAlignment="1" applyProtection="1">
      <alignment horizontal="center" vertical="center" wrapText="1"/>
      <protection hidden="1"/>
    </xf>
    <xf numFmtId="0" fontId="32" fillId="4" borderId="18" xfId="0" applyFont="1" applyFill="1" applyBorder="1" applyAlignment="1" applyProtection="1">
      <alignment horizontal="center" vertical="center" wrapText="1"/>
      <protection hidden="1"/>
    </xf>
    <xf numFmtId="0" fontId="32" fillId="4" borderId="1" xfId="0" applyFont="1" applyFill="1" applyBorder="1" applyAlignment="1" applyProtection="1">
      <alignment horizontal="center" vertical="center" wrapText="1"/>
      <protection hidden="1"/>
    </xf>
    <xf numFmtId="0" fontId="32" fillId="4" borderId="3" xfId="0" applyFont="1" applyFill="1" applyBorder="1" applyAlignment="1" applyProtection="1">
      <alignment horizontal="center" vertical="center" wrapText="1"/>
      <protection hidden="1"/>
    </xf>
    <xf numFmtId="0" fontId="32" fillId="4" borderId="40" xfId="0" applyFont="1" applyFill="1" applyBorder="1" applyAlignment="1" applyProtection="1">
      <alignment horizontal="center" vertical="center" wrapText="1"/>
      <protection hidden="1"/>
    </xf>
    <xf numFmtId="0" fontId="32" fillId="4" borderId="9" xfId="0" applyFont="1" applyFill="1" applyBorder="1" applyAlignment="1" applyProtection="1">
      <alignment horizontal="center" vertical="center" wrapText="1"/>
      <protection hidden="1"/>
    </xf>
    <xf numFmtId="0" fontId="32" fillId="4" borderId="31" xfId="0" applyFont="1" applyFill="1" applyBorder="1" applyAlignment="1" applyProtection="1">
      <alignment horizontal="center" vertical="center" wrapText="1"/>
      <protection hidden="1"/>
    </xf>
    <xf numFmtId="0" fontId="32" fillId="4" borderId="4" xfId="0" applyFont="1" applyFill="1" applyBorder="1" applyAlignment="1" applyProtection="1">
      <alignment horizontal="center" vertical="center" wrapText="1"/>
      <protection hidden="1"/>
    </xf>
    <xf numFmtId="0" fontId="32" fillId="4" borderId="30" xfId="0" applyFont="1" applyFill="1" applyBorder="1" applyAlignment="1" applyProtection="1">
      <alignment horizontal="center" vertical="center" wrapText="1"/>
      <protection hidden="1"/>
    </xf>
    <xf numFmtId="0" fontId="31" fillId="4" borderId="1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 wrapText="1"/>
    </xf>
    <xf numFmtId="0" fontId="31" fillId="4" borderId="3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 applyProtection="1">
      <alignment horizontal="center" vertical="center"/>
      <protection hidden="1"/>
    </xf>
    <xf numFmtId="0" fontId="31" fillId="4" borderId="46" xfId="0" applyFont="1" applyFill="1" applyBorder="1" applyAlignment="1" applyProtection="1">
      <alignment horizontal="center" vertical="center"/>
      <protection hidden="1"/>
    </xf>
    <xf numFmtId="0" fontId="31" fillId="4" borderId="48" xfId="0" applyFont="1" applyFill="1" applyBorder="1" applyAlignment="1" applyProtection="1">
      <alignment horizontal="center" vertical="center"/>
      <protection hidden="1"/>
    </xf>
    <xf numFmtId="0" fontId="31" fillId="4" borderId="50" xfId="0" applyFont="1" applyFill="1" applyBorder="1" applyAlignment="1" applyProtection="1">
      <alignment horizontal="center" vertical="center"/>
      <protection hidden="1"/>
    </xf>
    <xf numFmtId="0" fontId="31" fillId="4" borderId="23" xfId="0" applyFont="1" applyFill="1" applyBorder="1" applyAlignment="1" applyProtection="1">
      <alignment horizontal="center" vertical="center"/>
      <protection hidden="1"/>
    </xf>
    <xf numFmtId="0" fontId="31" fillId="4" borderId="28" xfId="0" applyFont="1" applyFill="1" applyBorder="1" applyAlignment="1" applyProtection="1">
      <alignment horizontal="center" vertical="center"/>
      <protection hidden="1"/>
    </xf>
    <xf numFmtId="0" fontId="31" fillId="4" borderId="29" xfId="0" applyFont="1" applyFill="1" applyBorder="1" applyAlignment="1" applyProtection="1">
      <alignment horizontal="center" vertical="center"/>
      <protection hidden="1"/>
    </xf>
    <xf numFmtId="0" fontId="31" fillId="4" borderId="2" xfId="0" applyFont="1" applyFill="1" applyBorder="1" applyAlignment="1" applyProtection="1">
      <alignment horizontal="center" vertical="center" wrapText="1"/>
      <protection hidden="1"/>
    </xf>
    <xf numFmtId="0" fontId="31" fillId="4" borderId="27" xfId="0" applyFont="1" applyFill="1" applyBorder="1" applyAlignment="1" applyProtection="1">
      <alignment horizontal="center" vertical="center" wrapText="1"/>
      <protection hidden="1"/>
    </xf>
    <xf numFmtId="0" fontId="31" fillId="4" borderId="12" xfId="0" applyFont="1" applyFill="1" applyBorder="1" applyAlignment="1" applyProtection="1">
      <alignment horizontal="center" vertical="center" wrapText="1"/>
      <protection hidden="1"/>
    </xf>
    <xf numFmtId="0" fontId="31" fillId="4" borderId="40" xfId="0" applyFont="1" applyFill="1" applyBorder="1" applyAlignment="1" applyProtection="1">
      <alignment horizontal="center" vertical="center" wrapText="1"/>
      <protection hidden="1"/>
    </xf>
    <xf numFmtId="0" fontId="31" fillId="4" borderId="9" xfId="0" applyFont="1" applyFill="1" applyBorder="1" applyAlignment="1" applyProtection="1">
      <alignment horizontal="center" vertical="center" wrapText="1"/>
      <protection hidden="1"/>
    </xf>
    <xf numFmtId="0" fontId="31" fillId="4" borderId="26" xfId="0" applyFont="1" applyFill="1" applyBorder="1" applyAlignment="1" applyProtection="1">
      <alignment horizontal="center" vertical="center" wrapText="1"/>
      <protection hidden="1"/>
    </xf>
    <xf numFmtId="0" fontId="31" fillId="4" borderId="12" xfId="0" applyFont="1" applyFill="1" applyBorder="1" applyAlignment="1" applyProtection="1">
      <alignment horizontal="center" vertical="center" wrapText="1"/>
      <protection hidden="1"/>
    </xf>
    <xf numFmtId="0" fontId="31" fillId="4" borderId="53" xfId="0" applyFont="1" applyFill="1" applyBorder="1" applyAlignment="1" applyProtection="1">
      <alignment horizontal="center" vertical="center"/>
      <protection hidden="1"/>
    </xf>
    <xf numFmtId="0" fontId="31" fillId="4" borderId="11" xfId="0" applyFont="1" applyFill="1" applyBorder="1" applyAlignment="1" applyProtection="1">
      <alignment horizontal="center" vertical="center"/>
      <protection hidden="1"/>
    </xf>
    <xf numFmtId="0" fontId="31" fillId="4" borderId="14" xfId="0" applyFont="1" applyFill="1" applyBorder="1" applyAlignment="1" applyProtection="1">
      <alignment horizontal="center" vertical="center"/>
      <protection hidden="1"/>
    </xf>
    <xf numFmtId="0" fontId="31" fillId="3" borderId="7" xfId="0" applyFont="1" applyFill="1" applyBorder="1" applyAlignment="1" applyProtection="1">
      <alignment horizontal="center" vertical="center" wrapText="1"/>
      <protection hidden="1"/>
    </xf>
    <xf numFmtId="0" fontId="31" fillId="3" borderId="19" xfId="0" applyFont="1" applyFill="1" applyBorder="1" applyAlignment="1" applyProtection="1">
      <alignment horizontal="center" vertical="center" wrapText="1"/>
      <protection hidden="1"/>
    </xf>
    <xf numFmtId="0" fontId="31" fillId="3" borderId="32" xfId="0" applyFont="1" applyFill="1" applyBorder="1" applyAlignment="1" applyProtection="1">
      <alignment horizontal="center" vertical="center" wrapText="1"/>
      <protection hidden="1"/>
    </xf>
    <xf numFmtId="0" fontId="31" fillId="3" borderId="18" xfId="0" applyFont="1" applyFill="1" applyBorder="1" applyAlignment="1" applyProtection="1">
      <alignment horizontal="center" vertical="center" wrapText="1"/>
      <protection hidden="1"/>
    </xf>
    <xf numFmtId="0" fontId="31" fillId="3" borderId="44" xfId="0" applyFont="1" applyFill="1" applyBorder="1" applyAlignment="1" applyProtection="1">
      <alignment horizontal="center" vertical="center"/>
      <protection hidden="1"/>
    </xf>
    <xf numFmtId="0" fontId="31" fillId="3" borderId="32" xfId="0" applyFont="1" applyFill="1" applyBorder="1" applyAlignment="1" applyProtection="1">
      <alignment horizontal="center" vertical="center"/>
      <protection hidden="1"/>
    </xf>
    <xf numFmtId="0" fontId="31" fillId="3" borderId="43" xfId="0" applyFont="1" applyFill="1" applyBorder="1" applyAlignment="1" applyProtection="1">
      <alignment horizontal="center" vertical="center"/>
      <protection hidden="1"/>
    </xf>
    <xf numFmtId="0" fontId="31" fillId="3" borderId="19" xfId="0" applyFont="1" applyFill="1" applyBorder="1" applyAlignment="1" applyProtection="1">
      <alignment horizontal="center" vertical="center"/>
      <protection hidden="1"/>
    </xf>
    <xf numFmtId="0" fontId="31" fillId="3" borderId="18" xfId="0" applyFont="1" applyFill="1" applyBorder="1" applyAlignment="1" applyProtection="1">
      <alignment horizontal="center" vertical="center"/>
      <protection hidden="1"/>
    </xf>
    <xf numFmtId="0" fontId="31" fillId="3" borderId="19" xfId="0" applyFont="1" applyFill="1" applyBorder="1" applyAlignment="1" applyProtection="1">
      <alignment horizontal="center" vertical="center"/>
      <protection hidden="1"/>
    </xf>
    <xf numFmtId="0" fontId="31" fillId="3" borderId="18" xfId="0" applyFont="1" applyFill="1" applyBorder="1" applyAlignment="1" applyProtection="1">
      <alignment horizontal="center" vertical="center"/>
      <protection hidden="1"/>
    </xf>
    <xf numFmtId="0" fontId="31" fillId="3" borderId="1" xfId="0" applyFont="1" applyFill="1" applyBorder="1" applyAlignment="1" applyProtection="1">
      <alignment horizontal="center" vertical="center" wrapText="1"/>
      <protection hidden="1"/>
    </xf>
    <xf numFmtId="0" fontId="31" fillId="3" borderId="2" xfId="0" applyFont="1" applyFill="1" applyBorder="1" applyAlignment="1" applyProtection="1">
      <alignment horizontal="center" vertical="center" wrapText="1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0" fontId="31" fillId="3" borderId="28" xfId="0" applyFont="1" applyFill="1" applyBorder="1" applyAlignment="1" applyProtection="1">
      <alignment horizontal="center" vertical="center" wrapText="1"/>
      <protection hidden="1"/>
    </xf>
    <xf numFmtId="0" fontId="31" fillId="3" borderId="17" xfId="0" applyFont="1" applyFill="1" applyBorder="1" applyAlignment="1" applyProtection="1">
      <alignment horizontal="center" vertical="center"/>
      <protection hidden="1"/>
    </xf>
    <xf numFmtId="0" fontId="31" fillId="3" borderId="11" xfId="0" applyFont="1" applyFill="1" applyBorder="1" applyAlignment="1" applyProtection="1">
      <alignment horizontal="center" vertical="center"/>
      <protection hidden="1"/>
    </xf>
  </cellXfs>
  <cellStyles count="3">
    <cellStyle name="Нейтральный" xfId="1" builtinId="28"/>
    <cellStyle name="Обычный" xfId="0" builtinId="0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5" Type="http://schemas.openxmlformats.org/officeDocument/2006/relationships/image" Target="../media/image6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png"/><Relationship Id="rId126" Type="http://schemas.openxmlformats.org/officeDocument/2006/relationships/image" Target="../media/image12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pn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16" Type="http://schemas.openxmlformats.org/officeDocument/2006/relationships/image" Target="../media/image117.jpeg"/><Relationship Id="rId124" Type="http://schemas.openxmlformats.org/officeDocument/2006/relationships/image" Target="../media/image125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11" Type="http://schemas.openxmlformats.org/officeDocument/2006/relationships/image" Target="../media/image11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44" Type="http://schemas.openxmlformats.org/officeDocument/2006/relationships/image" Target="../media/image45.pn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94" Type="http://schemas.openxmlformats.org/officeDocument/2006/relationships/image" Target="../media/image95.pn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0.jpeg"/><Relationship Id="rId117" Type="http://schemas.openxmlformats.org/officeDocument/2006/relationships/image" Target="../media/image109.jpeg"/><Relationship Id="rId21" Type="http://schemas.openxmlformats.org/officeDocument/2006/relationships/image" Target="../media/image146.jpeg"/><Relationship Id="rId42" Type="http://schemas.openxmlformats.org/officeDocument/2006/relationships/image" Target="../media/image166.jpeg"/><Relationship Id="rId47" Type="http://schemas.openxmlformats.org/officeDocument/2006/relationships/image" Target="../media/image171.jpeg"/><Relationship Id="rId63" Type="http://schemas.openxmlformats.org/officeDocument/2006/relationships/image" Target="../media/image186.jpeg"/><Relationship Id="rId68" Type="http://schemas.openxmlformats.org/officeDocument/2006/relationships/image" Target="../media/image191.jpeg"/><Relationship Id="rId84" Type="http://schemas.openxmlformats.org/officeDocument/2006/relationships/image" Target="../media/image206.jpeg"/><Relationship Id="rId89" Type="http://schemas.openxmlformats.org/officeDocument/2006/relationships/image" Target="../media/image211.jpeg"/><Relationship Id="rId112" Type="http://schemas.openxmlformats.org/officeDocument/2006/relationships/image" Target="../media/image234.jpeg"/><Relationship Id="rId16" Type="http://schemas.openxmlformats.org/officeDocument/2006/relationships/image" Target="../media/image143.jpeg"/><Relationship Id="rId107" Type="http://schemas.openxmlformats.org/officeDocument/2006/relationships/image" Target="../media/image229.jpeg"/><Relationship Id="rId11" Type="http://schemas.openxmlformats.org/officeDocument/2006/relationships/image" Target="../media/image138.jpeg"/><Relationship Id="rId24" Type="http://schemas.openxmlformats.org/officeDocument/2006/relationships/image" Target="../media/image148.jpeg"/><Relationship Id="rId32" Type="http://schemas.openxmlformats.org/officeDocument/2006/relationships/image" Target="../media/image156.jpeg"/><Relationship Id="rId37" Type="http://schemas.openxmlformats.org/officeDocument/2006/relationships/image" Target="../media/image161.jpeg"/><Relationship Id="rId40" Type="http://schemas.openxmlformats.org/officeDocument/2006/relationships/image" Target="../media/image164.jpeg"/><Relationship Id="rId45" Type="http://schemas.openxmlformats.org/officeDocument/2006/relationships/image" Target="../media/image169.jpeg"/><Relationship Id="rId53" Type="http://schemas.openxmlformats.org/officeDocument/2006/relationships/image" Target="../media/image176.jpeg"/><Relationship Id="rId58" Type="http://schemas.openxmlformats.org/officeDocument/2006/relationships/image" Target="../media/image181.jpeg"/><Relationship Id="rId66" Type="http://schemas.openxmlformats.org/officeDocument/2006/relationships/image" Target="../media/image189.jpeg"/><Relationship Id="rId74" Type="http://schemas.openxmlformats.org/officeDocument/2006/relationships/image" Target="../media/image197.jpeg"/><Relationship Id="rId79" Type="http://schemas.openxmlformats.org/officeDocument/2006/relationships/image" Target="../media/image201.jpeg"/><Relationship Id="rId87" Type="http://schemas.openxmlformats.org/officeDocument/2006/relationships/image" Target="../media/image209.jpeg"/><Relationship Id="rId102" Type="http://schemas.openxmlformats.org/officeDocument/2006/relationships/image" Target="../media/image224.jpeg"/><Relationship Id="rId110" Type="http://schemas.openxmlformats.org/officeDocument/2006/relationships/image" Target="../media/image232.jpeg"/><Relationship Id="rId115" Type="http://schemas.openxmlformats.org/officeDocument/2006/relationships/image" Target="../media/image237.jpeg"/><Relationship Id="rId5" Type="http://schemas.openxmlformats.org/officeDocument/2006/relationships/image" Target="../media/image132.jpeg"/><Relationship Id="rId61" Type="http://schemas.openxmlformats.org/officeDocument/2006/relationships/image" Target="../media/image184.jpeg"/><Relationship Id="rId82" Type="http://schemas.openxmlformats.org/officeDocument/2006/relationships/image" Target="../media/image204.jpeg"/><Relationship Id="rId90" Type="http://schemas.openxmlformats.org/officeDocument/2006/relationships/image" Target="../media/image212.jpeg"/><Relationship Id="rId95" Type="http://schemas.openxmlformats.org/officeDocument/2006/relationships/image" Target="../media/image217.jpeg"/><Relationship Id="rId19" Type="http://schemas.openxmlformats.org/officeDocument/2006/relationships/image" Target="../media/image20.jpeg"/><Relationship Id="rId14" Type="http://schemas.openxmlformats.org/officeDocument/2006/relationships/image" Target="../media/image141.jpeg"/><Relationship Id="rId22" Type="http://schemas.openxmlformats.org/officeDocument/2006/relationships/image" Target="../media/image23.jpeg"/><Relationship Id="rId27" Type="http://schemas.openxmlformats.org/officeDocument/2006/relationships/image" Target="../media/image151.jpeg"/><Relationship Id="rId30" Type="http://schemas.openxmlformats.org/officeDocument/2006/relationships/image" Target="../media/image154.jpeg"/><Relationship Id="rId35" Type="http://schemas.openxmlformats.org/officeDocument/2006/relationships/image" Target="../media/image159.jpeg"/><Relationship Id="rId43" Type="http://schemas.openxmlformats.org/officeDocument/2006/relationships/image" Target="../media/image167.jpeg"/><Relationship Id="rId48" Type="http://schemas.openxmlformats.org/officeDocument/2006/relationships/image" Target="../media/image172.jpeg"/><Relationship Id="rId56" Type="http://schemas.openxmlformats.org/officeDocument/2006/relationships/image" Target="../media/image179.jpeg"/><Relationship Id="rId64" Type="http://schemas.openxmlformats.org/officeDocument/2006/relationships/image" Target="../media/image187.jpeg"/><Relationship Id="rId69" Type="http://schemas.openxmlformats.org/officeDocument/2006/relationships/image" Target="../media/image192.jpeg"/><Relationship Id="rId77" Type="http://schemas.openxmlformats.org/officeDocument/2006/relationships/image" Target="../media/image199.jpeg"/><Relationship Id="rId100" Type="http://schemas.openxmlformats.org/officeDocument/2006/relationships/image" Target="../media/image222.jpeg"/><Relationship Id="rId105" Type="http://schemas.openxmlformats.org/officeDocument/2006/relationships/image" Target="../media/image227.jpeg"/><Relationship Id="rId113" Type="http://schemas.openxmlformats.org/officeDocument/2006/relationships/image" Target="../media/image235.jpeg"/><Relationship Id="rId118" Type="http://schemas.openxmlformats.org/officeDocument/2006/relationships/image" Target="../media/image239.jpeg"/><Relationship Id="rId8" Type="http://schemas.openxmlformats.org/officeDocument/2006/relationships/image" Target="../media/image135.jpeg"/><Relationship Id="rId51" Type="http://schemas.openxmlformats.org/officeDocument/2006/relationships/image" Target="../media/image45.png"/><Relationship Id="rId72" Type="http://schemas.openxmlformats.org/officeDocument/2006/relationships/image" Target="../media/image195.jpeg"/><Relationship Id="rId80" Type="http://schemas.openxmlformats.org/officeDocument/2006/relationships/image" Target="../media/image202.jpeg"/><Relationship Id="rId85" Type="http://schemas.openxmlformats.org/officeDocument/2006/relationships/image" Target="../media/image207.jpeg"/><Relationship Id="rId93" Type="http://schemas.openxmlformats.org/officeDocument/2006/relationships/image" Target="../media/image215.jpeg"/><Relationship Id="rId98" Type="http://schemas.openxmlformats.org/officeDocument/2006/relationships/image" Target="../media/image220.jpeg"/><Relationship Id="rId3" Type="http://schemas.openxmlformats.org/officeDocument/2006/relationships/image" Target="../media/image130.jpeg"/><Relationship Id="rId12" Type="http://schemas.openxmlformats.org/officeDocument/2006/relationships/image" Target="../media/image139.jpeg"/><Relationship Id="rId17" Type="http://schemas.openxmlformats.org/officeDocument/2006/relationships/image" Target="../media/image144.jpeg"/><Relationship Id="rId25" Type="http://schemas.openxmlformats.org/officeDocument/2006/relationships/image" Target="../media/image149.jpeg"/><Relationship Id="rId33" Type="http://schemas.openxmlformats.org/officeDocument/2006/relationships/image" Target="../media/image157.jpeg"/><Relationship Id="rId38" Type="http://schemas.openxmlformats.org/officeDocument/2006/relationships/image" Target="../media/image162.jpeg"/><Relationship Id="rId46" Type="http://schemas.openxmlformats.org/officeDocument/2006/relationships/image" Target="../media/image170.jpeg"/><Relationship Id="rId59" Type="http://schemas.openxmlformats.org/officeDocument/2006/relationships/image" Target="../media/image182.jpeg"/><Relationship Id="rId67" Type="http://schemas.openxmlformats.org/officeDocument/2006/relationships/image" Target="../media/image190.jpeg"/><Relationship Id="rId103" Type="http://schemas.openxmlformats.org/officeDocument/2006/relationships/image" Target="../media/image225.jpeg"/><Relationship Id="rId108" Type="http://schemas.openxmlformats.org/officeDocument/2006/relationships/image" Target="../media/image230.jpeg"/><Relationship Id="rId116" Type="http://schemas.openxmlformats.org/officeDocument/2006/relationships/image" Target="../media/image238.jpeg"/><Relationship Id="rId20" Type="http://schemas.openxmlformats.org/officeDocument/2006/relationships/image" Target="../media/image21.jpeg"/><Relationship Id="rId41" Type="http://schemas.openxmlformats.org/officeDocument/2006/relationships/image" Target="../media/image165.jpeg"/><Relationship Id="rId54" Type="http://schemas.openxmlformats.org/officeDocument/2006/relationships/image" Target="../media/image177.jpeg"/><Relationship Id="rId62" Type="http://schemas.openxmlformats.org/officeDocument/2006/relationships/image" Target="../media/image185.jpeg"/><Relationship Id="rId70" Type="http://schemas.openxmlformats.org/officeDocument/2006/relationships/image" Target="../media/image193.jpeg"/><Relationship Id="rId75" Type="http://schemas.openxmlformats.org/officeDocument/2006/relationships/image" Target="../media/image198.jpeg"/><Relationship Id="rId83" Type="http://schemas.openxmlformats.org/officeDocument/2006/relationships/image" Target="../media/image205.jpeg"/><Relationship Id="rId88" Type="http://schemas.openxmlformats.org/officeDocument/2006/relationships/image" Target="../media/image210.jpeg"/><Relationship Id="rId91" Type="http://schemas.openxmlformats.org/officeDocument/2006/relationships/image" Target="../media/image213.jpeg"/><Relationship Id="rId96" Type="http://schemas.openxmlformats.org/officeDocument/2006/relationships/image" Target="../media/image218.jpeg"/><Relationship Id="rId111" Type="http://schemas.openxmlformats.org/officeDocument/2006/relationships/image" Target="../media/image233.jpeg"/><Relationship Id="rId1" Type="http://schemas.openxmlformats.org/officeDocument/2006/relationships/image" Target="../media/image128.jpeg"/><Relationship Id="rId6" Type="http://schemas.openxmlformats.org/officeDocument/2006/relationships/image" Target="../media/image133.jpeg"/><Relationship Id="rId15" Type="http://schemas.openxmlformats.org/officeDocument/2006/relationships/image" Target="../media/image142.jpeg"/><Relationship Id="rId23" Type="http://schemas.openxmlformats.org/officeDocument/2006/relationships/image" Target="../media/image147.jpeg"/><Relationship Id="rId28" Type="http://schemas.openxmlformats.org/officeDocument/2006/relationships/image" Target="../media/image152.jpeg"/><Relationship Id="rId36" Type="http://schemas.openxmlformats.org/officeDocument/2006/relationships/image" Target="../media/image160.jpeg"/><Relationship Id="rId49" Type="http://schemas.openxmlformats.org/officeDocument/2006/relationships/image" Target="../media/image173.jpeg"/><Relationship Id="rId57" Type="http://schemas.openxmlformats.org/officeDocument/2006/relationships/image" Target="../media/image180.jpeg"/><Relationship Id="rId106" Type="http://schemas.openxmlformats.org/officeDocument/2006/relationships/image" Target="../media/image228.jpeg"/><Relationship Id="rId114" Type="http://schemas.openxmlformats.org/officeDocument/2006/relationships/image" Target="../media/image236.jpeg"/><Relationship Id="rId10" Type="http://schemas.openxmlformats.org/officeDocument/2006/relationships/image" Target="../media/image137.jpeg"/><Relationship Id="rId31" Type="http://schemas.openxmlformats.org/officeDocument/2006/relationships/image" Target="../media/image155.jpeg"/><Relationship Id="rId44" Type="http://schemas.openxmlformats.org/officeDocument/2006/relationships/image" Target="../media/image168.jpeg"/><Relationship Id="rId52" Type="http://schemas.openxmlformats.org/officeDocument/2006/relationships/image" Target="../media/image175.jpeg"/><Relationship Id="rId60" Type="http://schemas.openxmlformats.org/officeDocument/2006/relationships/image" Target="../media/image183.jpeg"/><Relationship Id="rId65" Type="http://schemas.openxmlformats.org/officeDocument/2006/relationships/image" Target="../media/image188.jpeg"/><Relationship Id="rId73" Type="http://schemas.openxmlformats.org/officeDocument/2006/relationships/image" Target="../media/image196.jpeg"/><Relationship Id="rId78" Type="http://schemas.openxmlformats.org/officeDocument/2006/relationships/image" Target="../media/image200.jpeg"/><Relationship Id="rId81" Type="http://schemas.openxmlformats.org/officeDocument/2006/relationships/image" Target="../media/image203.jpeg"/><Relationship Id="rId86" Type="http://schemas.openxmlformats.org/officeDocument/2006/relationships/image" Target="../media/image208.jpeg"/><Relationship Id="rId94" Type="http://schemas.openxmlformats.org/officeDocument/2006/relationships/image" Target="../media/image216.jpeg"/><Relationship Id="rId99" Type="http://schemas.openxmlformats.org/officeDocument/2006/relationships/image" Target="../media/image221.jpeg"/><Relationship Id="rId101" Type="http://schemas.openxmlformats.org/officeDocument/2006/relationships/image" Target="../media/image223.jpeg"/><Relationship Id="rId4" Type="http://schemas.openxmlformats.org/officeDocument/2006/relationships/image" Target="../media/image131.jpeg"/><Relationship Id="rId9" Type="http://schemas.openxmlformats.org/officeDocument/2006/relationships/image" Target="../media/image136.jpeg"/><Relationship Id="rId13" Type="http://schemas.openxmlformats.org/officeDocument/2006/relationships/image" Target="../media/image140.jpeg"/><Relationship Id="rId18" Type="http://schemas.openxmlformats.org/officeDocument/2006/relationships/image" Target="../media/image145.jpeg"/><Relationship Id="rId39" Type="http://schemas.openxmlformats.org/officeDocument/2006/relationships/image" Target="../media/image163.jpeg"/><Relationship Id="rId109" Type="http://schemas.openxmlformats.org/officeDocument/2006/relationships/image" Target="../media/image231.jpeg"/><Relationship Id="rId34" Type="http://schemas.openxmlformats.org/officeDocument/2006/relationships/image" Target="../media/image158.jpeg"/><Relationship Id="rId50" Type="http://schemas.openxmlformats.org/officeDocument/2006/relationships/image" Target="../media/image174.jpeg"/><Relationship Id="rId55" Type="http://schemas.openxmlformats.org/officeDocument/2006/relationships/image" Target="../media/image178.jpeg"/><Relationship Id="rId76" Type="http://schemas.openxmlformats.org/officeDocument/2006/relationships/image" Target="../media/image70.png"/><Relationship Id="rId97" Type="http://schemas.openxmlformats.org/officeDocument/2006/relationships/image" Target="../media/image219.jpeg"/><Relationship Id="rId104" Type="http://schemas.openxmlformats.org/officeDocument/2006/relationships/image" Target="../media/image226.jpeg"/><Relationship Id="rId7" Type="http://schemas.openxmlformats.org/officeDocument/2006/relationships/image" Target="../media/image134.jpeg"/><Relationship Id="rId71" Type="http://schemas.openxmlformats.org/officeDocument/2006/relationships/image" Target="../media/image194.jpeg"/><Relationship Id="rId92" Type="http://schemas.openxmlformats.org/officeDocument/2006/relationships/image" Target="../media/image214.jpeg"/><Relationship Id="rId2" Type="http://schemas.openxmlformats.org/officeDocument/2006/relationships/image" Target="../media/image129.jpeg"/><Relationship Id="rId29" Type="http://schemas.openxmlformats.org/officeDocument/2006/relationships/image" Target="../media/image15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65</xdr:row>
      <xdr:rowOff>7620</xdr:rowOff>
    </xdr:from>
    <xdr:to>
      <xdr:col>2</xdr:col>
      <xdr:colOff>0</xdr:colOff>
      <xdr:row>65</xdr:row>
      <xdr:rowOff>716280</xdr:rowOff>
    </xdr:to>
    <xdr:pic>
      <xdr:nvPicPr>
        <xdr:cNvPr id="7397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92506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2</xdr:col>
      <xdr:colOff>0</xdr:colOff>
      <xdr:row>206</xdr:row>
      <xdr:rowOff>236220</xdr:rowOff>
    </xdr:to>
    <xdr:pic>
      <xdr:nvPicPr>
        <xdr:cNvPr id="73976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41755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207</xdr:row>
      <xdr:rowOff>0</xdr:rowOff>
    </xdr:from>
    <xdr:to>
      <xdr:col>2</xdr:col>
      <xdr:colOff>0</xdr:colOff>
      <xdr:row>209</xdr:row>
      <xdr:rowOff>236221</xdr:rowOff>
    </xdr:to>
    <xdr:pic>
      <xdr:nvPicPr>
        <xdr:cNvPr id="73977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489186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210</xdr:row>
      <xdr:rowOff>0</xdr:rowOff>
    </xdr:from>
    <xdr:to>
      <xdr:col>2</xdr:col>
      <xdr:colOff>0</xdr:colOff>
      <xdr:row>213</xdr:row>
      <xdr:rowOff>0</xdr:rowOff>
    </xdr:to>
    <xdr:pic>
      <xdr:nvPicPr>
        <xdr:cNvPr id="73978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560814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213</xdr:row>
      <xdr:rowOff>7620</xdr:rowOff>
    </xdr:from>
    <xdr:to>
      <xdr:col>2</xdr:col>
      <xdr:colOff>3265</xdr:colOff>
      <xdr:row>215</xdr:row>
      <xdr:rowOff>236220</xdr:rowOff>
    </xdr:to>
    <xdr:pic>
      <xdr:nvPicPr>
        <xdr:cNvPr id="73979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6339660"/>
          <a:ext cx="15849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2</xdr:col>
      <xdr:colOff>0</xdr:colOff>
      <xdr:row>217</xdr:row>
      <xdr:rowOff>521153</xdr:rowOff>
    </xdr:to>
    <xdr:pic>
      <xdr:nvPicPr>
        <xdr:cNvPr id="73980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7254060"/>
          <a:ext cx="1600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218</xdr:row>
      <xdr:rowOff>7620</xdr:rowOff>
    </xdr:from>
    <xdr:to>
      <xdr:col>2</xdr:col>
      <xdr:colOff>0</xdr:colOff>
      <xdr:row>218</xdr:row>
      <xdr:rowOff>525780</xdr:rowOff>
    </xdr:to>
    <xdr:pic>
      <xdr:nvPicPr>
        <xdr:cNvPr id="73981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7779840"/>
          <a:ext cx="159258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221</xdr:row>
      <xdr:rowOff>0</xdr:rowOff>
    </xdr:from>
    <xdr:to>
      <xdr:col>2</xdr:col>
      <xdr:colOff>0</xdr:colOff>
      <xdr:row>222</xdr:row>
      <xdr:rowOff>1</xdr:rowOff>
    </xdr:to>
    <xdr:pic>
      <xdr:nvPicPr>
        <xdr:cNvPr id="73982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87018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2</xdr:col>
      <xdr:colOff>0</xdr:colOff>
      <xdr:row>223</xdr:row>
      <xdr:rowOff>7619</xdr:rowOff>
    </xdr:to>
    <xdr:pic>
      <xdr:nvPicPr>
        <xdr:cNvPr id="73983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9425760"/>
          <a:ext cx="16002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223</xdr:row>
      <xdr:rowOff>7620</xdr:rowOff>
    </xdr:from>
    <xdr:to>
      <xdr:col>2</xdr:col>
      <xdr:colOff>0</xdr:colOff>
      <xdr:row>224</xdr:row>
      <xdr:rowOff>0</xdr:rowOff>
    </xdr:to>
    <xdr:pic>
      <xdr:nvPicPr>
        <xdr:cNvPr id="73984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1572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224</xdr:row>
      <xdr:rowOff>7620</xdr:rowOff>
    </xdr:from>
    <xdr:to>
      <xdr:col>2</xdr:col>
      <xdr:colOff>0</xdr:colOff>
      <xdr:row>225</xdr:row>
      <xdr:rowOff>1</xdr:rowOff>
    </xdr:to>
    <xdr:pic>
      <xdr:nvPicPr>
        <xdr:cNvPr id="73985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8811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225</xdr:row>
      <xdr:rowOff>0</xdr:rowOff>
    </xdr:from>
    <xdr:to>
      <xdr:col>2</xdr:col>
      <xdr:colOff>0</xdr:colOff>
      <xdr:row>225</xdr:row>
      <xdr:rowOff>716280</xdr:rowOff>
    </xdr:to>
    <xdr:pic>
      <xdr:nvPicPr>
        <xdr:cNvPr id="73986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15974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202</xdr:row>
      <xdr:rowOff>7620</xdr:rowOff>
    </xdr:from>
    <xdr:to>
      <xdr:col>2</xdr:col>
      <xdr:colOff>0</xdr:colOff>
      <xdr:row>202</xdr:row>
      <xdr:rowOff>601980</xdr:rowOff>
    </xdr:to>
    <xdr:pic>
      <xdr:nvPicPr>
        <xdr:cNvPr id="73987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3383100"/>
          <a:ext cx="160020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194</xdr:row>
      <xdr:rowOff>190500</xdr:rowOff>
    </xdr:from>
    <xdr:to>
      <xdr:col>1</xdr:col>
      <xdr:colOff>1363980</xdr:colOff>
      <xdr:row>194</xdr:row>
      <xdr:rowOff>693420</xdr:rowOff>
    </xdr:to>
    <xdr:pic>
      <xdr:nvPicPr>
        <xdr:cNvPr id="73988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88559640"/>
          <a:ext cx="11582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7620</xdr:rowOff>
    </xdr:from>
    <xdr:to>
      <xdr:col>2</xdr:col>
      <xdr:colOff>0</xdr:colOff>
      <xdr:row>40</xdr:row>
      <xdr:rowOff>716280</xdr:rowOff>
    </xdr:to>
    <xdr:pic>
      <xdr:nvPicPr>
        <xdr:cNvPr id="73989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32333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41</xdr:row>
      <xdr:rowOff>0</xdr:rowOff>
    </xdr:from>
    <xdr:to>
      <xdr:col>2</xdr:col>
      <xdr:colOff>0</xdr:colOff>
      <xdr:row>41</xdr:row>
      <xdr:rowOff>716280</xdr:rowOff>
    </xdr:to>
    <xdr:pic>
      <xdr:nvPicPr>
        <xdr:cNvPr id="73990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9496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0</xdr:rowOff>
    </xdr:from>
    <xdr:to>
      <xdr:col>2</xdr:col>
      <xdr:colOff>5170</xdr:colOff>
      <xdr:row>45</xdr:row>
      <xdr:rowOff>716280</xdr:rowOff>
    </xdr:to>
    <xdr:pic>
      <xdr:nvPicPr>
        <xdr:cNvPr id="73991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31186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73992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0357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232</xdr:row>
      <xdr:rowOff>7620</xdr:rowOff>
    </xdr:from>
    <xdr:to>
      <xdr:col>1</xdr:col>
      <xdr:colOff>1548765</xdr:colOff>
      <xdr:row>232</xdr:row>
      <xdr:rowOff>594360</xdr:rowOff>
    </xdr:to>
    <xdr:pic>
      <xdr:nvPicPr>
        <xdr:cNvPr id="73993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4447340"/>
          <a:ext cx="150876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231</xdr:row>
      <xdr:rowOff>7620</xdr:rowOff>
    </xdr:from>
    <xdr:to>
      <xdr:col>2</xdr:col>
      <xdr:colOff>1360</xdr:colOff>
      <xdr:row>231</xdr:row>
      <xdr:rowOff>624840</xdr:rowOff>
    </xdr:to>
    <xdr:pic>
      <xdr:nvPicPr>
        <xdr:cNvPr id="73994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379964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251460</xdr:colOff>
      <xdr:row>196</xdr:row>
      <xdr:rowOff>198120</xdr:rowOff>
    </xdr:from>
    <xdr:to>
      <xdr:col>1</xdr:col>
      <xdr:colOff>1341120</xdr:colOff>
      <xdr:row>196</xdr:row>
      <xdr:rowOff>693420</xdr:rowOff>
    </xdr:to>
    <xdr:pic>
      <xdr:nvPicPr>
        <xdr:cNvPr id="73995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90091260"/>
          <a:ext cx="10896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2</xdr:col>
      <xdr:colOff>5170</xdr:colOff>
      <xdr:row>44</xdr:row>
      <xdr:rowOff>701040</xdr:rowOff>
    </xdr:to>
    <xdr:pic>
      <xdr:nvPicPr>
        <xdr:cNvPr id="73996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55955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228</xdr:row>
      <xdr:rowOff>15240</xdr:rowOff>
    </xdr:from>
    <xdr:to>
      <xdr:col>1</xdr:col>
      <xdr:colOff>1539240</xdr:colOff>
      <xdr:row>228</xdr:row>
      <xdr:rowOff>632460</xdr:rowOff>
    </xdr:to>
    <xdr:pic>
      <xdr:nvPicPr>
        <xdr:cNvPr id="73997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74046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</xdr:row>
      <xdr:rowOff>7620</xdr:rowOff>
    </xdr:from>
    <xdr:to>
      <xdr:col>2</xdr:col>
      <xdr:colOff>5170</xdr:colOff>
      <xdr:row>14</xdr:row>
      <xdr:rowOff>701040</xdr:rowOff>
    </xdr:to>
    <xdr:pic>
      <xdr:nvPicPr>
        <xdr:cNvPr id="73998" name="Рисунок 1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454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</xdr:row>
      <xdr:rowOff>7620</xdr:rowOff>
    </xdr:from>
    <xdr:to>
      <xdr:col>2</xdr:col>
      <xdr:colOff>5170</xdr:colOff>
      <xdr:row>22</xdr:row>
      <xdr:rowOff>708660</xdr:rowOff>
    </xdr:to>
    <xdr:pic>
      <xdr:nvPicPr>
        <xdr:cNvPr id="739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5366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</xdr:row>
      <xdr:rowOff>10160</xdr:rowOff>
    </xdr:from>
    <xdr:to>
      <xdr:col>2</xdr:col>
      <xdr:colOff>3265</xdr:colOff>
      <xdr:row>17</xdr:row>
      <xdr:rowOff>10160</xdr:rowOff>
    </xdr:to>
    <xdr:pic>
      <xdr:nvPicPr>
        <xdr:cNvPr id="74000" name="Рисунок 1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93280"/>
          <a:ext cx="1584960" cy="721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19</xdr:row>
      <xdr:rowOff>0</xdr:rowOff>
    </xdr:from>
    <xdr:to>
      <xdr:col>2</xdr:col>
      <xdr:colOff>0</xdr:colOff>
      <xdr:row>19</xdr:row>
      <xdr:rowOff>716280</xdr:rowOff>
    </xdr:to>
    <xdr:pic>
      <xdr:nvPicPr>
        <xdr:cNvPr id="74001" name="Рисунок 1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3573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</xdr:row>
      <xdr:rowOff>7620</xdr:rowOff>
    </xdr:from>
    <xdr:to>
      <xdr:col>2</xdr:col>
      <xdr:colOff>0</xdr:colOff>
      <xdr:row>15</xdr:row>
      <xdr:rowOff>716280</xdr:rowOff>
    </xdr:to>
    <xdr:pic>
      <xdr:nvPicPr>
        <xdr:cNvPr id="74002" name="Рисунок 1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46938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20</xdr:row>
      <xdr:rowOff>7620</xdr:rowOff>
    </xdr:from>
    <xdr:to>
      <xdr:col>2</xdr:col>
      <xdr:colOff>2630</xdr:colOff>
      <xdr:row>20</xdr:row>
      <xdr:rowOff>708660</xdr:rowOff>
    </xdr:to>
    <xdr:pic>
      <xdr:nvPicPr>
        <xdr:cNvPr id="74003" name="Рисунок 1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80" y="10076180"/>
          <a:ext cx="15697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</xdr:row>
      <xdr:rowOff>30480</xdr:rowOff>
    </xdr:from>
    <xdr:to>
      <xdr:col>2</xdr:col>
      <xdr:colOff>0</xdr:colOff>
      <xdr:row>24</xdr:row>
      <xdr:rowOff>0</xdr:rowOff>
    </xdr:to>
    <xdr:pic>
      <xdr:nvPicPr>
        <xdr:cNvPr id="74004" name="Рисунок 1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2283440"/>
          <a:ext cx="15621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2</xdr:col>
      <xdr:colOff>0</xdr:colOff>
      <xdr:row>24</xdr:row>
      <xdr:rowOff>716280</xdr:rowOff>
    </xdr:to>
    <xdr:pic>
      <xdr:nvPicPr>
        <xdr:cNvPr id="74005" name="Рисунок 1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298448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26</xdr:row>
      <xdr:rowOff>0</xdr:rowOff>
    </xdr:from>
    <xdr:to>
      <xdr:col>2</xdr:col>
      <xdr:colOff>5170</xdr:colOff>
      <xdr:row>26</xdr:row>
      <xdr:rowOff>701040</xdr:rowOff>
    </xdr:to>
    <xdr:pic>
      <xdr:nvPicPr>
        <xdr:cNvPr id="74007" name="Рисунок 2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442466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33</xdr:row>
      <xdr:rowOff>7620</xdr:rowOff>
    </xdr:from>
    <xdr:to>
      <xdr:col>2</xdr:col>
      <xdr:colOff>0</xdr:colOff>
      <xdr:row>33</xdr:row>
      <xdr:rowOff>693420</xdr:rowOff>
    </xdr:to>
    <xdr:pic>
      <xdr:nvPicPr>
        <xdr:cNvPr id="74008" name="Рисунок 2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8562320"/>
          <a:ext cx="15773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74009" name="Рисунок 2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0025360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</xdr:row>
      <xdr:rowOff>7620</xdr:rowOff>
    </xdr:from>
    <xdr:to>
      <xdr:col>2</xdr:col>
      <xdr:colOff>0</xdr:colOff>
      <xdr:row>37</xdr:row>
      <xdr:rowOff>731520</xdr:rowOff>
    </xdr:to>
    <xdr:pic>
      <xdr:nvPicPr>
        <xdr:cNvPr id="74010" name="Рисунок 2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155698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36</xdr:row>
      <xdr:rowOff>0</xdr:rowOff>
    </xdr:from>
    <xdr:to>
      <xdr:col>2</xdr:col>
      <xdr:colOff>3265</xdr:colOff>
      <xdr:row>37</xdr:row>
      <xdr:rowOff>0</xdr:rowOff>
    </xdr:to>
    <xdr:pic>
      <xdr:nvPicPr>
        <xdr:cNvPr id="74011" name="Рисунок 2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0787360"/>
          <a:ext cx="1584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34</xdr:row>
      <xdr:rowOff>0</xdr:rowOff>
    </xdr:from>
    <xdr:to>
      <xdr:col>2</xdr:col>
      <xdr:colOff>5170</xdr:colOff>
      <xdr:row>34</xdr:row>
      <xdr:rowOff>754380</xdr:rowOff>
    </xdr:to>
    <xdr:pic>
      <xdr:nvPicPr>
        <xdr:cNvPr id="74012" name="Рисунок 2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263360"/>
          <a:ext cx="157734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39</xdr:row>
      <xdr:rowOff>7620</xdr:rowOff>
    </xdr:from>
    <xdr:to>
      <xdr:col>2</xdr:col>
      <xdr:colOff>3265</xdr:colOff>
      <xdr:row>40</xdr:row>
      <xdr:rowOff>0</xdr:rowOff>
    </xdr:to>
    <xdr:pic>
      <xdr:nvPicPr>
        <xdr:cNvPr id="74013" name="Рисунок 2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50948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2</xdr:col>
      <xdr:colOff>0</xdr:colOff>
      <xdr:row>43</xdr:row>
      <xdr:rowOff>716280</xdr:rowOff>
    </xdr:to>
    <xdr:pic>
      <xdr:nvPicPr>
        <xdr:cNvPr id="74014" name="Рисунок 2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487168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47</xdr:row>
      <xdr:rowOff>7620</xdr:rowOff>
    </xdr:from>
    <xdr:to>
      <xdr:col>2</xdr:col>
      <xdr:colOff>0</xdr:colOff>
      <xdr:row>48</xdr:row>
      <xdr:rowOff>0</xdr:rowOff>
    </xdr:to>
    <xdr:pic>
      <xdr:nvPicPr>
        <xdr:cNvPr id="74015" name="Рисунок 2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76728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2</xdr:col>
      <xdr:colOff>5170</xdr:colOff>
      <xdr:row>48</xdr:row>
      <xdr:rowOff>708660</xdr:rowOff>
    </xdr:to>
    <xdr:pic>
      <xdr:nvPicPr>
        <xdr:cNvPr id="74016" name="Рисунок 3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4911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50</xdr:row>
      <xdr:rowOff>716280</xdr:rowOff>
    </xdr:to>
    <xdr:pic>
      <xdr:nvPicPr>
        <xdr:cNvPr id="74017" name="Рисунок 3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939796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2</xdr:col>
      <xdr:colOff>5170</xdr:colOff>
      <xdr:row>51</xdr:row>
      <xdr:rowOff>708660</xdr:rowOff>
    </xdr:to>
    <xdr:pic>
      <xdr:nvPicPr>
        <xdr:cNvPr id="74018" name="Рисунок 3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01294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74019" name="Рисунок 12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335280" y="3543300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0</xdr:rowOff>
    </xdr:from>
    <xdr:to>
      <xdr:col>2</xdr:col>
      <xdr:colOff>0</xdr:colOff>
      <xdr:row>53</xdr:row>
      <xdr:rowOff>716280</xdr:rowOff>
    </xdr:to>
    <xdr:pic>
      <xdr:nvPicPr>
        <xdr:cNvPr id="74020" name="Рисунок 3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089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61</xdr:row>
      <xdr:rowOff>7620</xdr:rowOff>
    </xdr:from>
    <xdr:to>
      <xdr:col>2</xdr:col>
      <xdr:colOff>0</xdr:colOff>
      <xdr:row>62</xdr:row>
      <xdr:rowOff>7620</xdr:rowOff>
    </xdr:to>
    <xdr:pic>
      <xdr:nvPicPr>
        <xdr:cNvPr id="74021" name="Рисунок 3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36888420"/>
          <a:ext cx="15849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55</xdr:row>
      <xdr:rowOff>7620</xdr:rowOff>
    </xdr:from>
    <xdr:to>
      <xdr:col>2</xdr:col>
      <xdr:colOff>0</xdr:colOff>
      <xdr:row>56</xdr:row>
      <xdr:rowOff>7620</xdr:rowOff>
    </xdr:to>
    <xdr:pic>
      <xdr:nvPicPr>
        <xdr:cNvPr id="74022" name="Рисунок 13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254502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58</xdr:row>
      <xdr:rowOff>7620</xdr:rowOff>
    </xdr:from>
    <xdr:to>
      <xdr:col>2</xdr:col>
      <xdr:colOff>3265</xdr:colOff>
      <xdr:row>59</xdr:row>
      <xdr:rowOff>7620</xdr:rowOff>
    </xdr:to>
    <xdr:pic>
      <xdr:nvPicPr>
        <xdr:cNvPr id="74023" name="Рисунок 3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3471672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60</xdr:row>
      <xdr:rowOff>0</xdr:rowOff>
    </xdr:from>
    <xdr:to>
      <xdr:col>2</xdr:col>
      <xdr:colOff>5170</xdr:colOff>
      <xdr:row>60</xdr:row>
      <xdr:rowOff>716280</xdr:rowOff>
    </xdr:to>
    <xdr:pic>
      <xdr:nvPicPr>
        <xdr:cNvPr id="74024" name="Рисунок 4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615690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54</xdr:row>
      <xdr:rowOff>0</xdr:rowOff>
    </xdr:from>
    <xdr:to>
      <xdr:col>2</xdr:col>
      <xdr:colOff>0</xdr:colOff>
      <xdr:row>54</xdr:row>
      <xdr:rowOff>716280</xdr:rowOff>
    </xdr:to>
    <xdr:pic>
      <xdr:nvPicPr>
        <xdr:cNvPr id="74025" name="Рисунок 4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8135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2</xdr:col>
      <xdr:colOff>3265</xdr:colOff>
      <xdr:row>58</xdr:row>
      <xdr:rowOff>0</xdr:rowOff>
    </xdr:to>
    <xdr:pic>
      <xdr:nvPicPr>
        <xdr:cNvPr id="74026" name="Рисунок 4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399282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62</xdr:row>
      <xdr:rowOff>0</xdr:rowOff>
    </xdr:from>
    <xdr:to>
      <xdr:col>2</xdr:col>
      <xdr:colOff>3265</xdr:colOff>
      <xdr:row>63</xdr:row>
      <xdr:rowOff>7620</xdr:rowOff>
    </xdr:to>
    <xdr:pic>
      <xdr:nvPicPr>
        <xdr:cNvPr id="74027" name="Рисунок 4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604700"/>
          <a:ext cx="1584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63</xdr:row>
      <xdr:rowOff>0</xdr:rowOff>
    </xdr:from>
    <xdr:to>
      <xdr:col>2</xdr:col>
      <xdr:colOff>0</xdr:colOff>
      <xdr:row>63</xdr:row>
      <xdr:rowOff>716280</xdr:rowOff>
    </xdr:to>
    <xdr:pic>
      <xdr:nvPicPr>
        <xdr:cNvPr id="74028" name="Рисунок 4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8328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2</xdr:col>
      <xdr:colOff>0</xdr:colOff>
      <xdr:row>68</xdr:row>
      <xdr:rowOff>373380</xdr:rowOff>
    </xdr:to>
    <xdr:pic>
      <xdr:nvPicPr>
        <xdr:cNvPr id="74029" name="Рисунок 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1650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2</xdr:col>
      <xdr:colOff>0</xdr:colOff>
      <xdr:row>70</xdr:row>
      <xdr:rowOff>358140</xdr:rowOff>
    </xdr:to>
    <xdr:pic>
      <xdr:nvPicPr>
        <xdr:cNvPr id="74030" name="Рисунок 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927020"/>
          <a:ext cx="15925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2</xdr:col>
      <xdr:colOff>3265</xdr:colOff>
      <xdr:row>73</xdr:row>
      <xdr:rowOff>0</xdr:rowOff>
    </xdr:to>
    <xdr:pic>
      <xdr:nvPicPr>
        <xdr:cNvPr id="74031" name="Рисунок 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1689020"/>
          <a:ext cx="15849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0</xdr:rowOff>
    </xdr:from>
    <xdr:to>
      <xdr:col>2</xdr:col>
      <xdr:colOff>0</xdr:colOff>
      <xdr:row>74</xdr:row>
      <xdr:rowOff>373380</xdr:rowOff>
    </xdr:to>
    <xdr:pic>
      <xdr:nvPicPr>
        <xdr:cNvPr id="74032" name="Рисунок 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24434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2</xdr:col>
      <xdr:colOff>0</xdr:colOff>
      <xdr:row>91</xdr:row>
      <xdr:rowOff>0</xdr:rowOff>
    </xdr:to>
    <xdr:pic>
      <xdr:nvPicPr>
        <xdr:cNvPr id="74033" name="Рисунок 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8455580"/>
          <a:ext cx="15925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2</xdr:col>
      <xdr:colOff>0</xdr:colOff>
      <xdr:row>88</xdr:row>
      <xdr:rowOff>373380</xdr:rowOff>
    </xdr:to>
    <xdr:pic>
      <xdr:nvPicPr>
        <xdr:cNvPr id="74034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770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2</xdr:col>
      <xdr:colOff>0</xdr:colOff>
      <xdr:row>87</xdr:row>
      <xdr:rowOff>0</xdr:rowOff>
    </xdr:to>
    <xdr:pic>
      <xdr:nvPicPr>
        <xdr:cNvPr id="74035" name="Рисунок 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6931580"/>
          <a:ext cx="15773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2</xdr:col>
      <xdr:colOff>0</xdr:colOff>
      <xdr:row>77</xdr:row>
      <xdr:rowOff>0</xdr:rowOff>
    </xdr:to>
    <xdr:pic>
      <xdr:nvPicPr>
        <xdr:cNvPr id="74036" name="Рисунок 9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321302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77</xdr:row>
      <xdr:rowOff>7620</xdr:rowOff>
    </xdr:from>
    <xdr:to>
      <xdr:col>2</xdr:col>
      <xdr:colOff>10160</xdr:colOff>
      <xdr:row>78</xdr:row>
      <xdr:rowOff>373380</xdr:rowOff>
    </xdr:to>
    <xdr:pic>
      <xdr:nvPicPr>
        <xdr:cNvPr id="74037" name="Рисунок 1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" y="438988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2</xdr:col>
      <xdr:colOff>0</xdr:colOff>
      <xdr:row>93</xdr:row>
      <xdr:rowOff>0</xdr:rowOff>
    </xdr:to>
    <xdr:pic>
      <xdr:nvPicPr>
        <xdr:cNvPr id="74038" name="Рисунок 1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2252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2</xdr:col>
      <xdr:colOff>3265</xdr:colOff>
      <xdr:row>94</xdr:row>
      <xdr:rowOff>373380</xdr:rowOff>
    </xdr:to>
    <xdr:pic>
      <xdr:nvPicPr>
        <xdr:cNvPr id="74039" name="Рисунок 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987200"/>
          <a:ext cx="15849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99</xdr:row>
      <xdr:rowOff>7620</xdr:rowOff>
    </xdr:from>
    <xdr:to>
      <xdr:col>2</xdr:col>
      <xdr:colOff>0</xdr:colOff>
      <xdr:row>100</xdr:row>
      <xdr:rowOff>373380</xdr:rowOff>
    </xdr:to>
    <xdr:pic>
      <xdr:nvPicPr>
        <xdr:cNvPr id="74040" name="Рисунок 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151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7620</xdr:rowOff>
    </xdr:from>
    <xdr:to>
      <xdr:col>2</xdr:col>
      <xdr:colOff>0</xdr:colOff>
      <xdr:row>99</xdr:row>
      <xdr:rowOff>0</xdr:rowOff>
    </xdr:to>
    <xdr:pic>
      <xdr:nvPicPr>
        <xdr:cNvPr id="74041" name="Рисунок 1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074920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122</xdr:row>
      <xdr:rowOff>7620</xdr:rowOff>
    </xdr:from>
    <xdr:to>
      <xdr:col>2</xdr:col>
      <xdr:colOff>0</xdr:colOff>
      <xdr:row>123</xdr:row>
      <xdr:rowOff>0</xdr:rowOff>
    </xdr:to>
    <xdr:pic>
      <xdr:nvPicPr>
        <xdr:cNvPr id="74042" name="Рисунок 112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63718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7620</xdr:rowOff>
    </xdr:from>
    <xdr:to>
      <xdr:col>2</xdr:col>
      <xdr:colOff>0</xdr:colOff>
      <xdr:row>122</xdr:row>
      <xdr:rowOff>7620</xdr:rowOff>
    </xdr:to>
    <xdr:pic>
      <xdr:nvPicPr>
        <xdr:cNvPr id="74043" name="Рисунок 113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058060"/>
          <a:ext cx="15925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2</xdr:col>
      <xdr:colOff>0</xdr:colOff>
      <xdr:row>80</xdr:row>
      <xdr:rowOff>358140</xdr:rowOff>
    </xdr:to>
    <xdr:pic>
      <xdr:nvPicPr>
        <xdr:cNvPr id="74044" name="Рисунок 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342900" y="4469130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2</xdr:col>
      <xdr:colOff>0</xdr:colOff>
      <xdr:row>121</xdr:row>
      <xdr:rowOff>0</xdr:rowOff>
    </xdr:to>
    <xdr:pic>
      <xdr:nvPicPr>
        <xdr:cNvPr id="74045" name="Рисунок 115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247894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0</xdr:colOff>
      <xdr:row>82</xdr:row>
      <xdr:rowOff>373380</xdr:rowOff>
    </xdr:to>
    <xdr:pic>
      <xdr:nvPicPr>
        <xdr:cNvPr id="74046" name="Рисунок 16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4540758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7620</xdr:rowOff>
    </xdr:from>
    <xdr:to>
      <xdr:col>2</xdr:col>
      <xdr:colOff>0</xdr:colOff>
      <xdr:row>84</xdr:row>
      <xdr:rowOff>373380</xdr:rowOff>
    </xdr:to>
    <xdr:pic>
      <xdr:nvPicPr>
        <xdr:cNvPr id="74047" name="Рисунок 1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6177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2</xdr:col>
      <xdr:colOff>0</xdr:colOff>
      <xdr:row>125</xdr:row>
      <xdr:rowOff>30480</xdr:rowOff>
    </xdr:to>
    <xdr:pic>
      <xdr:nvPicPr>
        <xdr:cNvPr id="74048" name="Рисунок 118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5626000"/>
          <a:ext cx="1605280" cy="61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139</xdr:row>
      <xdr:rowOff>7620</xdr:rowOff>
    </xdr:from>
    <xdr:to>
      <xdr:col>2</xdr:col>
      <xdr:colOff>0</xdr:colOff>
      <xdr:row>144</xdr:row>
      <xdr:rowOff>7620</xdr:rowOff>
    </xdr:to>
    <xdr:pic>
      <xdr:nvPicPr>
        <xdr:cNvPr id="74049" name="Рисунок 20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2003940"/>
          <a:ext cx="15925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143</xdr:row>
      <xdr:rowOff>0</xdr:rowOff>
    </xdr:from>
    <xdr:to>
      <xdr:col>2</xdr:col>
      <xdr:colOff>0</xdr:colOff>
      <xdr:row>144</xdr:row>
      <xdr:rowOff>373380</xdr:rowOff>
    </xdr:to>
    <xdr:pic>
      <xdr:nvPicPr>
        <xdr:cNvPr id="74050" name="Рисунок 21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1240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145</xdr:row>
      <xdr:rowOff>7620</xdr:rowOff>
    </xdr:from>
    <xdr:to>
      <xdr:col>2</xdr:col>
      <xdr:colOff>0</xdr:colOff>
      <xdr:row>147</xdr:row>
      <xdr:rowOff>0</xdr:rowOff>
    </xdr:to>
    <xdr:pic>
      <xdr:nvPicPr>
        <xdr:cNvPr id="74051" name="Рисунок 22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8937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147</xdr:row>
      <xdr:rowOff>7620</xdr:rowOff>
    </xdr:from>
    <xdr:to>
      <xdr:col>2</xdr:col>
      <xdr:colOff>0</xdr:colOff>
      <xdr:row>148</xdr:row>
      <xdr:rowOff>373380</xdr:rowOff>
    </xdr:to>
    <xdr:pic>
      <xdr:nvPicPr>
        <xdr:cNvPr id="74052" name="Рисунок 23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4655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149</xdr:row>
      <xdr:rowOff>7620</xdr:rowOff>
    </xdr:from>
    <xdr:to>
      <xdr:col>2</xdr:col>
      <xdr:colOff>0</xdr:colOff>
      <xdr:row>150</xdr:row>
      <xdr:rowOff>373380</xdr:rowOff>
    </xdr:to>
    <xdr:pic>
      <xdr:nvPicPr>
        <xdr:cNvPr id="74053" name="Рисунок 2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5417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152</xdr:row>
      <xdr:rowOff>419100</xdr:rowOff>
    </xdr:from>
    <xdr:to>
      <xdr:col>2</xdr:col>
      <xdr:colOff>3265</xdr:colOff>
      <xdr:row>154</xdr:row>
      <xdr:rowOff>426720</xdr:rowOff>
    </xdr:to>
    <xdr:pic>
      <xdr:nvPicPr>
        <xdr:cNvPr id="74054" name="Рисунок 27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67025520"/>
          <a:ext cx="16306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156</xdr:row>
      <xdr:rowOff>7620</xdr:rowOff>
    </xdr:from>
    <xdr:to>
      <xdr:col>2</xdr:col>
      <xdr:colOff>0</xdr:colOff>
      <xdr:row>158</xdr:row>
      <xdr:rowOff>373380</xdr:rowOff>
    </xdr:to>
    <xdr:pic>
      <xdr:nvPicPr>
        <xdr:cNvPr id="74055" name="Рисунок 2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8107560"/>
          <a:ext cx="1592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7620</xdr:rowOff>
    </xdr:from>
    <xdr:to>
      <xdr:col>2</xdr:col>
      <xdr:colOff>0</xdr:colOff>
      <xdr:row>161</xdr:row>
      <xdr:rowOff>0</xdr:rowOff>
    </xdr:to>
    <xdr:pic>
      <xdr:nvPicPr>
        <xdr:cNvPr id="74056" name="Рисунок 30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925056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161</xdr:row>
      <xdr:rowOff>0</xdr:rowOff>
    </xdr:from>
    <xdr:to>
      <xdr:col>2</xdr:col>
      <xdr:colOff>0</xdr:colOff>
      <xdr:row>162</xdr:row>
      <xdr:rowOff>350520</xdr:rowOff>
    </xdr:to>
    <xdr:pic>
      <xdr:nvPicPr>
        <xdr:cNvPr id="74057" name="Рисунок 31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99592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163</xdr:row>
      <xdr:rowOff>7620</xdr:rowOff>
    </xdr:from>
    <xdr:to>
      <xdr:col>2</xdr:col>
      <xdr:colOff>0</xdr:colOff>
      <xdr:row>165</xdr:row>
      <xdr:rowOff>0</xdr:rowOff>
    </xdr:to>
    <xdr:pic>
      <xdr:nvPicPr>
        <xdr:cNvPr id="74058" name="Рисунок 32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0683120"/>
          <a:ext cx="16002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165</xdr:row>
      <xdr:rowOff>0</xdr:rowOff>
    </xdr:from>
    <xdr:to>
      <xdr:col>2</xdr:col>
      <xdr:colOff>0</xdr:colOff>
      <xdr:row>165</xdr:row>
      <xdr:rowOff>541020</xdr:rowOff>
    </xdr:to>
    <xdr:pic>
      <xdr:nvPicPr>
        <xdr:cNvPr id="74059" name="Рисунок 35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376540"/>
          <a:ext cx="15925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74060" name="Рисунок 36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1925180"/>
          <a:ext cx="16002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167</xdr:row>
      <xdr:rowOff>0</xdr:rowOff>
    </xdr:from>
    <xdr:to>
      <xdr:col>2</xdr:col>
      <xdr:colOff>0</xdr:colOff>
      <xdr:row>167</xdr:row>
      <xdr:rowOff>609600</xdr:rowOff>
    </xdr:to>
    <xdr:pic>
      <xdr:nvPicPr>
        <xdr:cNvPr id="74061" name="Рисунок 37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248144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169</xdr:row>
      <xdr:rowOff>53340</xdr:rowOff>
    </xdr:from>
    <xdr:to>
      <xdr:col>1</xdr:col>
      <xdr:colOff>1394460</xdr:colOff>
      <xdr:row>169</xdr:row>
      <xdr:rowOff>655320</xdr:rowOff>
    </xdr:to>
    <xdr:pic>
      <xdr:nvPicPr>
        <xdr:cNvPr id="74062" name="Рисунок 38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357740"/>
          <a:ext cx="1196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1198880</xdr:colOff>
      <xdr:row>4</xdr:row>
      <xdr:rowOff>47897</xdr:rowOff>
    </xdr:to>
    <xdr:pic>
      <xdr:nvPicPr>
        <xdr:cNvPr id="74063" name="Рисунок 56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2168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197</xdr:row>
      <xdr:rowOff>152400</xdr:rowOff>
    </xdr:from>
    <xdr:to>
      <xdr:col>1</xdr:col>
      <xdr:colOff>1310640</xdr:colOff>
      <xdr:row>197</xdr:row>
      <xdr:rowOff>678180</xdr:rowOff>
    </xdr:to>
    <xdr:pic>
      <xdr:nvPicPr>
        <xdr:cNvPr id="7406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90807540"/>
          <a:ext cx="11430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2</xdr:col>
      <xdr:colOff>3265</xdr:colOff>
      <xdr:row>128</xdr:row>
      <xdr:rowOff>609600</xdr:rowOff>
    </xdr:to>
    <xdr:pic>
      <xdr:nvPicPr>
        <xdr:cNvPr id="74065" name="Рисунок 1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12962" r="9029" b="50694"/>
        <a:stretch>
          <a:fillRect/>
        </a:stretch>
      </xdr:blipFill>
      <xdr:spPr bwMode="auto">
        <a:xfrm>
          <a:off x="335280" y="5622036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7620</xdr:rowOff>
    </xdr:from>
    <xdr:to>
      <xdr:col>2</xdr:col>
      <xdr:colOff>3265</xdr:colOff>
      <xdr:row>128</xdr:row>
      <xdr:rowOff>0</xdr:rowOff>
    </xdr:to>
    <xdr:pic>
      <xdr:nvPicPr>
        <xdr:cNvPr id="74066" name="Рисунок 18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1" t="14868" r="11751" b="50360"/>
        <a:stretch>
          <a:fillRect/>
        </a:stretch>
      </xdr:blipFill>
      <xdr:spPr bwMode="auto">
        <a:xfrm>
          <a:off x="335280" y="55595520"/>
          <a:ext cx="159258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178</xdr:row>
      <xdr:rowOff>7620</xdr:rowOff>
    </xdr:from>
    <xdr:to>
      <xdr:col>1</xdr:col>
      <xdr:colOff>1219200</xdr:colOff>
      <xdr:row>178</xdr:row>
      <xdr:rowOff>708660</xdr:rowOff>
    </xdr:to>
    <xdr:pic>
      <xdr:nvPicPr>
        <xdr:cNvPr id="74067" name="Рисунок 41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8" t="4816" r="4443" b="12592"/>
        <a:stretch>
          <a:fillRect/>
        </a:stretch>
      </xdr:blipFill>
      <xdr:spPr bwMode="auto">
        <a:xfrm>
          <a:off x="601980" y="77724000"/>
          <a:ext cx="95250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180</xdr:row>
      <xdr:rowOff>30480</xdr:rowOff>
    </xdr:from>
    <xdr:to>
      <xdr:col>1</xdr:col>
      <xdr:colOff>1234440</xdr:colOff>
      <xdr:row>180</xdr:row>
      <xdr:rowOff>685800</xdr:rowOff>
    </xdr:to>
    <xdr:pic>
      <xdr:nvPicPr>
        <xdr:cNvPr id="74068" name="Рисунок 4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9" t="4688" r="4688" b="7813"/>
        <a:stretch>
          <a:fillRect/>
        </a:stretch>
      </xdr:blipFill>
      <xdr:spPr bwMode="auto">
        <a:xfrm>
          <a:off x="754380" y="79209900"/>
          <a:ext cx="8153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179</xdr:row>
      <xdr:rowOff>30480</xdr:rowOff>
    </xdr:from>
    <xdr:to>
      <xdr:col>1</xdr:col>
      <xdr:colOff>1203960</xdr:colOff>
      <xdr:row>179</xdr:row>
      <xdr:rowOff>678180</xdr:rowOff>
    </xdr:to>
    <xdr:pic>
      <xdr:nvPicPr>
        <xdr:cNvPr id="74069" name="Рисунок 4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6824" r="6117" b="11058"/>
        <a:stretch>
          <a:fillRect/>
        </a:stretch>
      </xdr:blipFill>
      <xdr:spPr bwMode="auto">
        <a:xfrm>
          <a:off x="777240" y="78478380"/>
          <a:ext cx="762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322580</xdr:colOff>
      <xdr:row>174</xdr:row>
      <xdr:rowOff>0</xdr:rowOff>
    </xdr:from>
    <xdr:to>
      <xdr:col>1</xdr:col>
      <xdr:colOff>1244600</xdr:colOff>
      <xdr:row>174</xdr:row>
      <xdr:rowOff>563880</xdr:rowOff>
    </xdr:to>
    <xdr:pic>
      <xdr:nvPicPr>
        <xdr:cNvPr id="74070" name="Рисунок 4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2" t="10825" r="5670" b="9795"/>
        <a:stretch>
          <a:fillRect/>
        </a:stretch>
      </xdr:blipFill>
      <xdr:spPr bwMode="auto">
        <a:xfrm>
          <a:off x="657860" y="75641200"/>
          <a:ext cx="9220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183</xdr:row>
      <xdr:rowOff>45720</xdr:rowOff>
    </xdr:from>
    <xdr:to>
      <xdr:col>1</xdr:col>
      <xdr:colOff>1257300</xdr:colOff>
      <xdr:row>183</xdr:row>
      <xdr:rowOff>723900</xdr:rowOff>
    </xdr:to>
    <xdr:pic>
      <xdr:nvPicPr>
        <xdr:cNvPr id="74071" name="Рисунок 4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6" t="8064" r="6854" b="11290"/>
        <a:stretch>
          <a:fillRect/>
        </a:stretch>
      </xdr:blipFill>
      <xdr:spPr bwMode="auto">
        <a:xfrm>
          <a:off x="739140" y="81419700"/>
          <a:ext cx="8534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184</xdr:row>
      <xdr:rowOff>7620</xdr:rowOff>
    </xdr:from>
    <xdr:to>
      <xdr:col>1</xdr:col>
      <xdr:colOff>1211580</xdr:colOff>
      <xdr:row>185</xdr:row>
      <xdr:rowOff>0</xdr:rowOff>
    </xdr:to>
    <xdr:pic>
      <xdr:nvPicPr>
        <xdr:cNvPr id="74072" name="Рисунок 4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5" t="7227" r="5202" b="12427"/>
        <a:stretch>
          <a:fillRect/>
        </a:stretch>
      </xdr:blipFill>
      <xdr:spPr bwMode="auto">
        <a:xfrm>
          <a:off x="739140" y="82113120"/>
          <a:ext cx="8077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185</xdr:row>
      <xdr:rowOff>30480</xdr:rowOff>
    </xdr:from>
    <xdr:to>
      <xdr:col>1</xdr:col>
      <xdr:colOff>1173480</xdr:colOff>
      <xdr:row>185</xdr:row>
      <xdr:rowOff>723900</xdr:rowOff>
    </xdr:to>
    <xdr:pic>
      <xdr:nvPicPr>
        <xdr:cNvPr id="74073" name="Рисунок 4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1" t="8881" r="6177" b="9653"/>
        <a:stretch>
          <a:fillRect/>
        </a:stretch>
      </xdr:blipFill>
      <xdr:spPr bwMode="auto">
        <a:xfrm>
          <a:off x="701040" y="82867500"/>
          <a:ext cx="807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182</xdr:row>
      <xdr:rowOff>7620</xdr:rowOff>
    </xdr:from>
    <xdr:to>
      <xdr:col>1</xdr:col>
      <xdr:colOff>1249680</xdr:colOff>
      <xdr:row>182</xdr:row>
      <xdr:rowOff>693420</xdr:rowOff>
    </xdr:to>
    <xdr:pic>
      <xdr:nvPicPr>
        <xdr:cNvPr id="74074" name="Рисунок 4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75" t="8266" r="5933" b="5785"/>
        <a:stretch>
          <a:fillRect/>
        </a:stretch>
      </xdr:blipFill>
      <xdr:spPr bwMode="auto">
        <a:xfrm>
          <a:off x="723900" y="80650080"/>
          <a:ext cx="8610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191</xdr:row>
      <xdr:rowOff>22860</xdr:rowOff>
    </xdr:from>
    <xdr:to>
      <xdr:col>1</xdr:col>
      <xdr:colOff>1135380</xdr:colOff>
      <xdr:row>191</xdr:row>
      <xdr:rowOff>716280</xdr:rowOff>
    </xdr:to>
    <xdr:pic>
      <xdr:nvPicPr>
        <xdr:cNvPr id="74075" name="Рисунок 5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79" b="8679"/>
        <a:stretch>
          <a:fillRect/>
        </a:stretch>
      </xdr:blipFill>
      <xdr:spPr bwMode="auto">
        <a:xfrm>
          <a:off x="609600" y="86753700"/>
          <a:ext cx="8610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192</xdr:row>
      <xdr:rowOff>30480</xdr:rowOff>
    </xdr:from>
    <xdr:to>
      <xdr:col>1</xdr:col>
      <xdr:colOff>1104900</xdr:colOff>
      <xdr:row>192</xdr:row>
      <xdr:rowOff>716280</xdr:rowOff>
    </xdr:to>
    <xdr:pic>
      <xdr:nvPicPr>
        <xdr:cNvPr id="74076" name="Рисунок 55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6" t="8556" b="8022"/>
        <a:stretch>
          <a:fillRect/>
        </a:stretch>
      </xdr:blipFill>
      <xdr:spPr bwMode="auto">
        <a:xfrm>
          <a:off x="655320" y="87492840"/>
          <a:ext cx="7848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187</xdr:row>
      <xdr:rowOff>83820</xdr:rowOff>
    </xdr:from>
    <xdr:to>
      <xdr:col>1</xdr:col>
      <xdr:colOff>1097280</xdr:colOff>
      <xdr:row>187</xdr:row>
      <xdr:rowOff>693420</xdr:rowOff>
    </xdr:to>
    <xdr:pic>
      <xdr:nvPicPr>
        <xdr:cNvPr id="74077" name="Рисунок 50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9148" r="19511" b="10365"/>
        <a:stretch>
          <a:fillRect/>
        </a:stretch>
      </xdr:blipFill>
      <xdr:spPr bwMode="auto">
        <a:xfrm>
          <a:off x="922020" y="83888580"/>
          <a:ext cx="5105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190</xdr:row>
      <xdr:rowOff>91440</xdr:rowOff>
    </xdr:from>
    <xdr:to>
      <xdr:col>1</xdr:col>
      <xdr:colOff>990600</xdr:colOff>
      <xdr:row>190</xdr:row>
      <xdr:rowOff>701040</xdr:rowOff>
    </xdr:to>
    <xdr:pic>
      <xdr:nvPicPr>
        <xdr:cNvPr id="74078" name="Рисунок 52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6090760"/>
          <a:ext cx="4876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176</xdr:row>
      <xdr:rowOff>30480</xdr:rowOff>
    </xdr:from>
    <xdr:to>
      <xdr:col>1</xdr:col>
      <xdr:colOff>1280160</xdr:colOff>
      <xdr:row>176</xdr:row>
      <xdr:rowOff>708660</xdr:rowOff>
    </xdr:to>
    <xdr:pic>
      <xdr:nvPicPr>
        <xdr:cNvPr id="74079" name="Рисунок 3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8" t="4819" b="9639"/>
        <a:stretch>
          <a:fillRect/>
        </a:stretch>
      </xdr:blipFill>
      <xdr:spPr bwMode="auto">
        <a:xfrm>
          <a:off x="601980" y="76283820"/>
          <a:ext cx="10134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177</xdr:row>
      <xdr:rowOff>30480</xdr:rowOff>
    </xdr:from>
    <xdr:to>
      <xdr:col>1</xdr:col>
      <xdr:colOff>1165860</xdr:colOff>
      <xdr:row>178</xdr:row>
      <xdr:rowOff>0</xdr:rowOff>
    </xdr:to>
    <xdr:pic>
      <xdr:nvPicPr>
        <xdr:cNvPr id="74080" name="Рисунок 48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7" t="10056" r="5586" b="8380"/>
        <a:stretch>
          <a:fillRect/>
        </a:stretch>
      </xdr:blipFill>
      <xdr:spPr bwMode="auto">
        <a:xfrm>
          <a:off x="655320" y="77015340"/>
          <a:ext cx="8458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181</xdr:row>
      <xdr:rowOff>68580</xdr:rowOff>
    </xdr:from>
    <xdr:to>
      <xdr:col>1</xdr:col>
      <xdr:colOff>1257300</xdr:colOff>
      <xdr:row>182</xdr:row>
      <xdr:rowOff>0</xdr:rowOff>
    </xdr:to>
    <xdr:pic>
      <xdr:nvPicPr>
        <xdr:cNvPr id="74081" name="Рисунок 40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6911" r="4471" b="8130"/>
        <a:stretch>
          <a:fillRect/>
        </a:stretch>
      </xdr:blipFill>
      <xdr:spPr bwMode="auto">
        <a:xfrm>
          <a:off x="708660" y="79979520"/>
          <a:ext cx="8839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188</xdr:row>
      <xdr:rowOff>38100</xdr:rowOff>
    </xdr:from>
    <xdr:to>
      <xdr:col>1</xdr:col>
      <xdr:colOff>1051560</xdr:colOff>
      <xdr:row>188</xdr:row>
      <xdr:rowOff>723900</xdr:rowOff>
    </xdr:to>
    <xdr:pic>
      <xdr:nvPicPr>
        <xdr:cNvPr id="74082" name="Рисунок 16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4574380"/>
          <a:ext cx="548640" cy="685800"/>
        </a:xfrm>
        <a:prstGeom prst="rect">
          <a:avLst/>
        </a:prstGeom>
        <a:blipFill dpi="0" rotWithShape="1">
          <a:blip xmlns:r="http://schemas.openxmlformats.org/officeDocument/2006/relationships" r:embed="rId108"/>
          <a:srcRect l="20398" t="9453" r="18408" b="11940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189</xdr:row>
      <xdr:rowOff>22860</xdr:rowOff>
    </xdr:from>
    <xdr:to>
      <xdr:col>1</xdr:col>
      <xdr:colOff>1082040</xdr:colOff>
      <xdr:row>190</xdr:row>
      <xdr:rowOff>0</xdr:rowOff>
    </xdr:to>
    <xdr:pic>
      <xdr:nvPicPr>
        <xdr:cNvPr id="74083" name="Рисунок 5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5" t="9175" r="21101" b="13303"/>
        <a:stretch>
          <a:fillRect/>
        </a:stretch>
      </xdr:blipFill>
      <xdr:spPr bwMode="auto">
        <a:xfrm>
          <a:off x="853440" y="85290660"/>
          <a:ext cx="5638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151</xdr:row>
      <xdr:rowOff>0</xdr:rowOff>
    </xdr:from>
    <xdr:to>
      <xdr:col>2</xdr:col>
      <xdr:colOff>3265</xdr:colOff>
      <xdr:row>153</xdr:row>
      <xdr:rowOff>30480</xdr:rowOff>
    </xdr:to>
    <xdr:pic>
      <xdr:nvPicPr>
        <xdr:cNvPr id="74084" name="Рисунок 26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7" t="18225" r="7355" b="35297"/>
        <a:stretch>
          <a:fillRect/>
        </a:stretch>
      </xdr:blipFill>
      <xdr:spPr bwMode="auto">
        <a:xfrm>
          <a:off x="342900" y="66172080"/>
          <a:ext cx="15849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</xdr:row>
      <xdr:rowOff>7620</xdr:rowOff>
    </xdr:from>
    <xdr:to>
      <xdr:col>2</xdr:col>
      <xdr:colOff>0</xdr:colOff>
      <xdr:row>9</xdr:row>
      <xdr:rowOff>754380</xdr:rowOff>
    </xdr:to>
    <xdr:pic>
      <xdr:nvPicPr>
        <xdr:cNvPr id="74085" name="Рисунок 6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8" t="24042" r="7655" b="33417"/>
        <a:stretch>
          <a:fillRect/>
        </a:stretch>
      </xdr:blipFill>
      <xdr:spPr bwMode="auto">
        <a:xfrm>
          <a:off x="342900" y="30937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10</xdr:row>
      <xdr:rowOff>182880</xdr:rowOff>
    </xdr:from>
    <xdr:to>
      <xdr:col>2</xdr:col>
      <xdr:colOff>3265</xdr:colOff>
      <xdr:row>11</xdr:row>
      <xdr:rowOff>746760</xdr:rowOff>
    </xdr:to>
    <xdr:pic>
      <xdr:nvPicPr>
        <xdr:cNvPr id="74086" name="Рисунок 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5286" r="7066" b="45287"/>
        <a:stretch>
          <a:fillRect/>
        </a:stretch>
      </xdr:blipFill>
      <xdr:spPr bwMode="auto">
        <a:xfrm>
          <a:off x="335280" y="40309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1548765</xdr:colOff>
      <xdr:row>12</xdr:row>
      <xdr:rowOff>723900</xdr:rowOff>
    </xdr:to>
    <xdr:pic>
      <xdr:nvPicPr>
        <xdr:cNvPr id="74087" name="Рисунок 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0" t="43347" r="5840" b="17136"/>
        <a:stretch>
          <a:fillRect/>
        </a:stretch>
      </xdr:blipFill>
      <xdr:spPr bwMode="auto">
        <a:xfrm>
          <a:off x="335280" y="4808220"/>
          <a:ext cx="15773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17</xdr:row>
      <xdr:rowOff>7620</xdr:rowOff>
    </xdr:from>
    <xdr:to>
      <xdr:col>2</xdr:col>
      <xdr:colOff>3265</xdr:colOff>
      <xdr:row>18</xdr:row>
      <xdr:rowOff>22860</xdr:rowOff>
    </xdr:to>
    <xdr:pic>
      <xdr:nvPicPr>
        <xdr:cNvPr id="74088" name="Рисунок 1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42900" y="791718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18</xdr:row>
      <xdr:rowOff>0</xdr:rowOff>
    </xdr:from>
    <xdr:to>
      <xdr:col>2</xdr:col>
      <xdr:colOff>3265</xdr:colOff>
      <xdr:row>19</xdr:row>
      <xdr:rowOff>7620</xdr:rowOff>
    </xdr:to>
    <xdr:pic>
      <xdr:nvPicPr>
        <xdr:cNvPr id="74089" name="Рисунок 13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00" b="40594"/>
        <a:stretch>
          <a:fillRect/>
        </a:stretch>
      </xdr:blipFill>
      <xdr:spPr bwMode="auto">
        <a:xfrm>
          <a:off x="327660" y="8633460"/>
          <a:ext cx="16002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74090" name="Рисунок 9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40" b="25534"/>
        <a:stretch>
          <a:fillRect/>
        </a:stretch>
      </xdr:blipFill>
      <xdr:spPr bwMode="auto">
        <a:xfrm>
          <a:off x="335280" y="1080516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134</xdr:row>
      <xdr:rowOff>7620</xdr:rowOff>
    </xdr:from>
    <xdr:to>
      <xdr:col>2</xdr:col>
      <xdr:colOff>3265</xdr:colOff>
      <xdr:row>135</xdr:row>
      <xdr:rowOff>0</xdr:rowOff>
    </xdr:to>
    <xdr:pic>
      <xdr:nvPicPr>
        <xdr:cNvPr id="74091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9275980"/>
          <a:ext cx="161544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136</xdr:row>
      <xdr:rowOff>609600</xdr:rowOff>
    </xdr:from>
    <xdr:to>
      <xdr:col>2</xdr:col>
      <xdr:colOff>0</xdr:colOff>
      <xdr:row>137</xdr:row>
      <xdr:rowOff>609600</xdr:rowOff>
    </xdr:to>
    <xdr:pic>
      <xdr:nvPicPr>
        <xdr:cNvPr id="7409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1142880"/>
          <a:ext cx="15925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30480</xdr:rowOff>
    </xdr:from>
    <xdr:to>
      <xdr:col>2</xdr:col>
      <xdr:colOff>22860</xdr:colOff>
      <xdr:row>137</xdr:row>
      <xdr:rowOff>7620</xdr:rowOff>
    </xdr:to>
    <xdr:pic>
      <xdr:nvPicPr>
        <xdr:cNvPr id="74093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0563760"/>
          <a:ext cx="16230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2</xdr:col>
      <xdr:colOff>7620</xdr:colOff>
      <xdr:row>136</xdr:row>
      <xdr:rowOff>30480</xdr:rowOff>
    </xdr:to>
    <xdr:pic>
      <xdr:nvPicPr>
        <xdr:cNvPr id="74094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900820"/>
          <a:ext cx="16078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74095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20868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2</xdr:col>
      <xdr:colOff>22860</xdr:colOff>
      <xdr:row>131</xdr:row>
      <xdr:rowOff>0</xdr:rowOff>
    </xdr:to>
    <xdr:pic>
      <xdr:nvPicPr>
        <xdr:cNvPr id="74096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7165240"/>
          <a:ext cx="16230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132</xdr:row>
      <xdr:rowOff>0</xdr:rowOff>
    </xdr:from>
    <xdr:to>
      <xdr:col>2</xdr:col>
      <xdr:colOff>3265</xdr:colOff>
      <xdr:row>133</xdr:row>
      <xdr:rowOff>0</xdr:rowOff>
    </xdr:to>
    <xdr:pic>
      <xdr:nvPicPr>
        <xdr:cNvPr id="74097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58414920"/>
          <a:ext cx="16002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31</xdr:row>
      <xdr:rowOff>708660</xdr:rowOff>
    </xdr:to>
    <xdr:pic>
      <xdr:nvPicPr>
        <xdr:cNvPr id="74098" name="Рисунок 1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764030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7620</xdr:colOff>
      <xdr:row>30</xdr:row>
      <xdr:rowOff>0</xdr:rowOff>
    </xdr:to>
    <xdr:pic>
      <xdr:nvPicPr>
        <xdr:cNvPr id="740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6192500"/>
          <a:ext cx="16078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5170</xdr:colOff>
      <xdr:row>31</xdr:row>
      <xdr:rowOff>15240</xdr:rowOff>
    </xdr:to>
    <xdr:pic>
      <xdr:nvPicPr>
        <xdr:cNvPr id="74100" name="Рисунок 1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35280" y="1691640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28</xdr:row>
      <xdr:rowOff>716280</xdr:rowOff>
    </xdr:to>
    <xdr:pic>
      <xdr:nvPicPr>
        <xdr:cNvPr id="74101" name="Рисунок 1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546860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7620</xdr:rowOff>
    </xdr:from>
    <xdr:to>
      <xdr:col>2</xdr:col>
      <xdr:colOff>0</xdr:colOff>
      <xdr:row>57</xdr:row>
      <xdr:rowOff>0</xdr:rowOff>
    </xdr:to>
    <xdr:pic>
      <xdr:nvPicPr>
        <xdr:cNvPr id="74102" name="Рисунок 38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326892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131</xdr:row>
      <xdr:rowOff>7620</xdr:rowOff>
    </xdr:from>
    <xdr:to>
      <xdr:col>2</xdr:col>
      <xdr:colOff>5170</xdr:colOff>
      <xdr:row>131</xdr:row>
      <xdr:rowOff>609600</xdr:rowOff>
    </xdr:to>
    <xdr:pic>
      <xdr:nvPicPr>
        <xdr:cNvPr id="74103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797700"/>
          <a:ext cx="1577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1550035</xdr:colOff>
      <xdr:row>25</xdr:row>
      <xdr:rowOff>708660</xdr:rowOff>
    </xdr:to>
    <xdr:pic>
      <xdr:nvPicPr>
        <xdr:cNvPr id="132" name="Рисунок 20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4396720"/>
          <a:ext cx="1597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9525</xdr:rowOff>
        </xdr:from>
        <xdr:to>
          <xdr:col>2</xdr:col>
          <xdr:colOff>9525</xdr:colOff>
          <xdr:row>96</xdr:row>
          <xdr:rowOff>371475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125</xdr:row>
          <xdr:rowOff>9525</xdr:rowOff>
        </xdr:from>
        <xdr:to>
          <xdr:col>2</xdr:col>
          <xdr:colOff>9525</xdr:colOff>
          <xdr:row>126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7620</xdr:colOff>
      <xdr:row>101</xdr:row>
      <xdr:rowOff>363220</xdr:rowOff>
    </xdr:from>
    <xdr:to>
      <xdr:col>2</xdr:col>
      <xdr:colOff>0</xdr:colOff>
      <xdr:row>103</xdr:row>
      <xdr:rowOff>25400</xdr:rowOff>
    </xdr:to>
    <xdr:pic>
      <xdr:nvPicPr>
        <xdr:cNvPr id="133" name="Рисунок 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46954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2</xdr:col>
      <xdr:colOff>5170</xdr:colOff>
      <xdr:row>105</xdr:row>
      <xdr:rowOff>43180</xdr:rowOff>
    </xdr:to>
    <xdr:pic>
      <xdr:nvPicPr>
        <xdr:cNvPr id="134" name="Рисунок 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213760"/>
          <a:ext cx="158496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1550035</xdr:colOff>
      <xdr:row>106</xdr:row>
      <xdr:rowOff>38100</xdr:rowOff>
    </xdr:to>
    <xdr:pic>
      <xdr:nvPicPr>
        <xdr:cNvPr id="135" name="Рисунок 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935120"/>
          <a:ext cx="1597660" cy="75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40640</xdr:rowOff>
    </xdr:from>
    <xdr:to>
      <xdr:col>2</xdr:col>
      <xdr:colOff>5805</xdr:colOff>
      <xdr:row>106</xdr:row>
      <xdr:rowOff>713740</xdr:rowOff>
    </xdr:to>
    <xdr:pic>
      <xdr:nvPicPr>
        <xdr:cNvPr id="136" name="Рисунок 9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6286400"/>
          <a:ext cx="159512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5170</xdr:colOff>
      <xdr:row>108</xdr:row>
      <xdr:rowOff>30480</xdr:rowOff>
    </xdr:to>
    <xdr:pic>
      <xdr:nvPicPr>
        <xdr:cNvPr id="137" name="Рисунок 1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696712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332740</xdr:colOff>
      <xdr:row>108</xdr:row>
      <xdr:rowOff>27940</xdr:rowOff>
    </xdr:from>
    <xdr:to>
      <xdr:col>2</xdr:col>
      <xdr:colOff>5170</xdr:colOff>
      <xdr:row>109</xdr:row>
      <xdr:rowOff>12700</xdr:rowOff>
    </xdr:to>
    <xdr:pic>
      <xdr:nvPicPr>
        <xdr:cNvPr id="138" name="Рисунок 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332740" y="57716420"/>
          <a:ext cx="1587500" cy="706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102</xdr:row>
      <xdr:rowOff>718820</xdr:rowOff>
    </xdr:from>
    <xdr:to>
      <xdr:col>2</xdr:col>
      <xdr:colOff>10160</xdr:colOff>
      <xdr:row>104</xdr:row>
      <xdr:rowOff>12700</xdr:rowOff>
    </xdr:to>
    <xdr:pic>
      <xdr:nvPicPr>
        <xdr:cNvPr id="140" name="Рисунок 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" y="54079140"/>
          <a:ext cx="159766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2</xdr:col>
      <xdr:colOff>4535</xdr:colOff>
      <xdr:row>110</xdr:row>
      <xdr:rowOff>38100</xdr:rowOff>
    </xdr:to>
    <xdr:pic>
      <xdr:nvPicPr>
        <xdr:cNvPr id="141" name="Рисунок 16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8409840"/>
          <a:ext cx="1574800" cy="75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2</xdr:col>
      <xdr:colOff>5170</xdr:colOff>
      <xdr:row>111</xdr:row>
      <xdr:rowOff>30480</xdr:rowOff>
    </xdr:to>
    <xdr:pic>
      <xdr:nvPicPr>
        <xdr:cNvPr id="142" name="Рисунок 1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13120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2630</xdr:colOff>
      <xdr:row>112</xdr:row>
      <xdr:rowOff>50800</xdr:rowOff>
    </xdr:to>
    <xdr:pic>
      <xdr:nvPicPr>
        <xdr:cNvPr id="144" name="Рисунок 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852560"/>
          <a:ext cx="1582420" cy="77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1550035</xdr:colOff>
      <xdr:row>113</xdr:row>
      <xdr:rowOff>30480</xdr:rowOff>
    </xdr:to>
    <xdr:pic>
      <xdr:nvPicPr>
        <xdr:cNvPr id="145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05739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1550035</xdr:colOff>
      <xdr:row>114</xdr:row>
      <xdr:rowOff>50800</xdr:rowOff>
    </xdr:to>
    <xdr:pic>
      <xdr:nvPicPr>
        <xdr:cNvPr id="146" name="Рисунок 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1295280"/>
          <a:ext cx="1597660" cy="77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1550035</xdr:colOff>
      <xdr:row>115</xdr:row>
      <xdr:rowOff>43180</xdr:rowOff>
    </xdr:to>
    <xdr:pic>
      <xdr:nvPicPr>
        <xdr:cNvPr id="147" name="Рисунок 1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2016640"/>
          <a:ext cx="159766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5170</xdr:colOff>
      <xdr:row>116</xdr:row>
      <xdr:rowOff>30480</xdr:rowOff>
    </xdr:to>
    <xdr:pic>
      <xdr:nvPicPr>
        <xdr:cNvPr id="148" name="Рисунок 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273800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9525</xdr:rowOff>
        </xdr:from>
        <xdr:to>
          <xdr:col>2</xdr:col>
          <xdr:colOff>9525</xdr:colOff>
          <xdr:row>117</xdr:row>
          <xdr:rowOff>28575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117</xdr:row>
      <xdr:rowOff>0</xdr:rowOff>
    </xdr:from>
    <xdr:to>
      <xdr:col>2</xdr:col>
      <xdr:colOff>0</xdr:colOff>
      <xdr:row>118</xdr:row>
      <xdr:rowOff>43180</xdr:rowOff>
    </xdr:to>
    <xdr:pic>
      <xdr:nvPicPr>
        <xdr:cNvPr id="150" name="Рисунок 1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4180720"/>
          <a:ext cx="160528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1550035</xdr:colOff>
      <xdr:row>119</xdr:row>
      <xdr:rowOff>30480</xdr:rowOff>
    </xdr:to>
    <xdr:pic>
      <xdr:nvPicPr>
        <xdr:cNvPr id="152" name="Рисунок 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490208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63</xdr:row>
      <xdr:rowOff>7620</xdr:rowOff>
    </xdr:from>
    <xdr:to>
      <xdr:col>3</xdr:col>
      <xdr:colOff>426720</xdr:colOff>
      <xdr:row>66</xdr:row>
      <xdr:rowOff>137160</xdr:rowOff>
    </xdr:to>
    <xdr:pic>
      <xdr:nvPicPr>
        <xdr:cNvPr id="7483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1061680"/>
          <a:ext cx="16383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178</xdr:row>
      <xdr:rowOff>182880</xdr:rowOff>
    </xdr:from>
    <xdr:to>
      <xdr:col>3</xdr:col>
      <xdr:colOff>381000</xdr:colOff>
      <xdr:row>182</xdr:row>
      <xdr:rowOff>137160</xdr:rowOff>
    </xdr:to>
    <xdr:pic>
      <xdr:nvPicPr>
        <xdr:cNvPr id="74840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9841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181</xdr:row>
      <xdr:rowOff>220980</xdr:rowOff>
    </xdr:from>
    <xdr:to>
      <xdr:col>3</xdr:col>
      <xdr:colOff>388620</xdr:colOff>
      <xdr:row>185</xdr:row>
      <xdr:rowOff>129540</xdr:rowOff>
    </xdr:to>
    <xdr:pic>
      <xdr:nvPicPr>
        <xdr:cNvPr id="74841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566699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184</xdr:row>
      <xdr:rowOff>190500</xdr:rowOff>
    </xdr:from>
    <xdr:to>
      <xdr:col>3</xdr:col>
      <xdr:colOff>411480</xdr:colOff>
      <xdr:row>188</xdr:row>
      <xdr:rowOff>137160</xdr:rowOff>
    </xdr:to>
    <xdr:pic>
      <xdr:nvPicPr>
        <xdr:cNvPr id="74842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733288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187</xdr:row>
      <xdr:rowOff>220980</xdr:rowOff>
    </xdr:from>
    <xdr:to>
      <xdr:col>3</xdr:col>
      <xdr:colOff>83820</xdr:colOff>
      <xdr:row>191</xdr:row>
      <xdr:rowOff>137160</xdr:rowOff>
    </xdr:to>
    <xdr:pic>
      <xdr:nvPicPr>
        <xdr:cNvPr id="74843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8056780"/>
          <a:ext cx="160020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192</xdr:row>
      <xdr:rowOff>15240</xdr:rowOff>
    </xdr:from>
    <xdr:to>
      <xdr:col>3</xdr:col>
      <xdr:colOff>381000</xdr:colOff>
      <xdr:row>194</xdr:row>
      <xdr:rowOff>160020</xdr:rowOff>
    </xdr:to>
    <xdr:pic>
      <xdr:nvPicPr>
        <xdr:cNvPr id="74844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971180"/>
          <a:ext cx="1600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3</xdr:col>
      <xdr:colOff>381000</xdr:colOff>
      <xdr:row>195</xdr:row>
      <xdr:rowOff>137160</xdr:rowOff>
    </xdr:to>
    <xdr:pic>
      <xdr:nvPicPr>
        <xdr:cNvPr id="74845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18454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3</xdr:col>
      <xdr:colOff>381000</xdr:colOff>
      <xdr:row>199</xdr:row>
      <xdr:rowOff>83820</xdr:rowOff>
    </xdr:to>
    <xdr:pic>
      <xdr:nvPicPr>
        <xdr:cNvPr id="74846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817000"/>
          <a:ext cx="160020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3</xdr:col>
      <xdr:colOff>381000</xdr:colOff>
      <xdr:row>200</xdr:row>
      <xdr:rowOff>137160</xdr:rowOff>
    </xdr:to>
    <xdr:pic>
      <xdr:nvPicPr>
        <xdr:cNvPr id="74847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190380"/>
          <a:ext cx="1600200" cy="1623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198</xdr:row>
      <xdr:rowOff>15240</xdr:rowOff>
    </xdr:from>
    <xdr:to>
      <xdr:col>3</xdr:col>
      <xdr:colOff>381000</xdr:colOff>
      <xdr:row>201</xdr:row>
      <xdr:rowOff>160020</xdr:rowOff>
    </xdr:to>
    <xdr:pic>
      <xdr:nvPicPr>
        <xdr:cNvPr id="74848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761880"/>
          <a:ext cx="160020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199</xdr:row>
      <xdr:rowOff>7620</xdr:rowOff>
    </xdr:from>
    <xdr:to>
      <xdr:col>3</xdr:col>
      <xdr:colOff>381000</xdr:colOff>
      <xdr:row>202</xdr:row>
      <xdr:rowOff>152400</xdr:rowOff>
    </xdr:to>
    <xdr:pic>
      <xdr:nvPicPr>
        <xdr:cNvPr id="74849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127640"/>
          <a:ext cx="1600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200</xdr:row>
      <xdr:rowOff>0</xdr:rowOff>
    </xdr:from>
    <xdr:to>
      <xdr:col>3</xdr:col>
      <xdr:colOff>403860</xdr:colOff>
      <xdr:row>203</xdr:row>
      <xdr:rowOff>137160</xdr:rowOff>
    </xdr:to>
    <xdr:pic>
      <xdr:nvPicPr>
        <xdr:cNvPr id="74850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61676280"/>
          <a:ext cx="16002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177</xdr:row>
      <xdr:rowOff>15240</xdr:rowOff>
    </xdr:from>
    <xdr:to>
      <xdr:col>3</xdr:col>
      <xdr:colOff>365760</xdr:colOff>
      <xdr:row>180</xdr:row>
      <xdr:rowOff>30480</xdr:rowOff>
    </xdr:to>
    <xdr:pic>
      <xdr:nvPicPr>
        <xdr:cNvPr id="74851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4894480"/>
          <a:ext cx="15544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</xdr:colOff>
      <xdr:row>166</xdr:row>
      <xdr:rowOff>83820</xdr:rowOff>
    </xdr:from>
    <xdr:to>
      <xdr:col>3</xdr:col>
      <xdr:colOff>297180</xdr:colOff>
      <xdr:row>169</xdr:row>
      <xdr:rowOff>137160</xdr:rowOff>
    </xdr:to>
    <xdr:pic>
      <xdr:nvPicPr>
        <xdr:cNvPr id="74852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51183540"/>
          <a:ext cx="13944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38</xdr:row>
      <xdr:rowOff>7620</xdr:rowOff>
    </xdr:from>
    <xdr:to>
      <xdr:col>3</xdr:col>
      <xdr:colOff>449580</xdr:colOff>
      <xdr:row>41</xdr:row>
      <xdr:rowOff>137160</xdr:rowOff>
    </xdr:to>
    <xdr:pic>
      <xdr:nvPicPr>
        <xdr:cNvPr id="74853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1811000"/>
          <a:ext cx="166116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7620</xdr:rowOff>
    </xdr:from>
    <xdr:to>
      <xdr:col>3</xdr:col>
      <xdr:colOff>441960</xdr:colOff>
      <xdr:row>42</xdr:row>
      <xdr:rowOff>137160</xdr:rowOff>
    </xdr:to>
    <xdr:pic>
      <xdr:nvPicPr>
        <xdr:cNvPr id="74854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4252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3</xdr:col>
      <xdr:colOff>441960</xdr:colOff>
      <xdr:row>46</xdr:row>
      <xdr:rowOff>91440</xdr:rowOff>
    </xdr:to>
    <xdr:pic>
      <xdr:nvPicPr>
        <xdr:cNvPr id="74855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394460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3</xdr:col>
      <xdr:colOff>441960</xdr:colOff>
      <xdr:row>47</xdr:row>
      <xdr:rowOff>144780</xdr:rowOff>
    </xdr:to>
    <xdr:pic>
      <xdr:nvPicPr>
        <xdr:cNvPr id="74856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43103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207</xdr:row>
      <xdr:rowOff>7620</xdr:rowOff>
    </xdr:from>
    <xdr:to>
      <xdr:col>3</xdr:col>
      <xdr:colOff>304800</xdr:colOff>
      <xdr:row>210</xdr:row>
      <xdr:rowOff>30480</xdr:rowOff>
    </xdr:to>
    <xdr:pic>
      <xdr:nvPicPr>
        <xdr:cNvPr id="74857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63177420"/>
          <a:ext cx="14630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206</xdr:row>
      <xdr:rowOff>15240</xdr:rowOff>
    </xdr:from>
    <xdr:to>
      <xdr:col>3</xdr:col>
      <xdr:colOff>259080</xdr:colOff>
      <xdr:row>209</xdr:row>
      <xdr:rowOff>68580</xdr:rowOff>
    </xdr:to>
    <xdr:pic>
      <xdr:nvPicPr>
        <xdr:cNvPr id="74858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62956440"/>
          <a:ext cx="14478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168</xdr:row>
      <xdr:rowOff>53340</xdr:rowOff>
    </xdr:from>
    <xdr:to>
      <xdr:col>3</xdr:col>
      <xdr:colOff>342900</xdr:colOff>
      <xdr:row>171</xdr:row>
      <xdr:rowOff>121920</xdr:rowOff>
    </xdr:to>
    <xdr:pic>
      <xdr:nvPicPr>
        <xdr:cNvPr id="74859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617880"/>
          <a:ext cx="13716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42</xdr:row>
      <xdr:rowOff>7620</xdr:rowOff>
    </xdr:from>
    <xdr:to>
      <xdr:col>3</xdr:col>
      <xdr:colOff>426720</xdr:colOff>
      <xdr:row>45</xdr:row>
      <xdr:rowOff>83820</xdr:rowOff>
    </xdr:to>
    <xdr:pic>
      <xdr:nvPicPr>
        <xdr:cNvPr id="74860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08380"/>
          <a:ext cx="16154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203</xdr:row>
      <xdr:rowOff>7620</xdr:rowOff>
    </xdr:from>
    <xdr:to>
      <xdr:col>3</xdr:col>
      <xdr:colOff>274320</xdr:colOff>
      <xdr:row>206</xdr:row>
      <xdr:rowOff>45720</xdr:rowOff>
    </xdr:to>
    <xdr:pic>
      <xdr:nvPicPr>
        <xdr:cNvPr id="74861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62316360"/>
          <a:ext cx="14249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14</xdr:row>
      <xdr:rowOff>30480</xdr:rowOff>
    </xdr:from>
    <xdr:to>
      <xdr:col>3</xdr:col>
      <xdr:colOff>441960</xdr:colOff>
      <xdr:row>17</xdr:row>
      <xdr:rowOff>175260</xdr:rowOff>
    </xdr:to>
    <xdr:pic>
      <xdr:nvPicPr>
        <xdr:cNvPr id="74862" name="Рисунок 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1" b="-69"/>
        <a:stretch>
          <a:fillRect/>
        </a:stretch>
      </xdr:blipFill>
      <xdr:spPr bwMode="auto">
        <a:xfrm>
          <a:off x="632460" y="4564380"/>
          <a:ext cx="16383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15</xdr:row>
      <xdr:rowOff>15240</xdr:rowOff>
    </xdr:from>
    <xdr:to>
      <xdr:col>3</xdr:col>
      <xdr:colOff>426720</xdr:colOff>
      <xdr:row>18</xdr:row>
      <xdr:rowOff>144780</xdr:rowOff>
    </xdr:to>
    <xdr:pic>
      <xdr:nvPicPr>
        <xdr:cNvPr id="74863" name="Рисунок 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43"/>
        <a:stretch>
          <a:fillRect/>
        </a:stretch>
      </xdr:blipFill>
      <xdr:spPr bwMode="auto">
        <a:xfrm>
          <a:off x="632460" y="4785360"/>
          <a:ext cx="16230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</xdr:row>
      <xdr:rowOff>7620</xdr:rowOff>
    </xdr:from>
    <xdr:to>
      <xdr:col>3</xdr:col>
      <xdr:colOff>441960</xdr:colOff>
      <xdr:row>15</xdr:row>
      <xdr:rowOff>114300</xdr:rowOff>
    </xdr:to>
    <xdr:pic>
      <xdr:nvPicPr>
        <xdr:cNvPr id="74864" name="Рисунок 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-98"/>
        <a:stretch>
          <a:fillRect/>
        </a:stretch>
      </xdr:blipFill>
      <xdr:spPr bwMode="auto">
        <a:xfrm>
          <a:off x="617220" y="3794760"/>
          <a:ext cx="16535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3</xdr:col>
      <xdr:colOff>441960</xdr:colOff>
      <xdr:row>27</xdr:row>
      <xdr:rowOff>106680</xdr:rowOff>
    </xdr:to>
    <xdr:pic>
      <xdr:nvPicPr>
        <xdr:cNvPr id="74865" name="Рисунок 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44"/>
        <a:stretch>
          <a:fillRect/>
        </a:stretch>
      </xdr:blipFill>
      <xdr:spPr bwMode="auto">
        <a:xfrm>
          <a:off x="617220" y="6949440"/>
          <a:ext cx="16535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</xdr:row>
      <xdr:rowOff>30480</xdr:rowOff>
    </xdr:from>
    <xdr:to>
      <xdr:col>3</xdr:col>
      <xdr:colOff>441960</xdr:colOff>
      <xdr:row>20</xdr:row>
      <xdr:rowOff>137160</xdr:rowOff>
    </xdr:to>
    <xdr:pic>
      <xdr:nvPicPr>
        <xdr:cNvPr id="74866" name="Рисунок 1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"/>
        <a:stretch>
          <a:fillRect/>
        </a:stretch>
      </xdr:blipFill>
      <xdr:spPr bwMode="auto">
        <a:xfrm>
          <a:off x="647700" y="5364480"/>
          <a:ext cx="16230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25</xdr:row>
      <xdr:rowOff>7620</xdr:rowOff>
    </xdr:from>
    <xdr:to>
      <xdr:col>3</xdr:col>
      <xdr:colOff>441960</xdr:colOff>
      <xdr:row>28</xdr:row>
      <xdr:rowOff>91440</xdr:rowOff>
    </xdr:to>
    <xdr:pic>
      <xdr:nvPicPr>
        <xdr:cNvPr id="74867" name="Рисунок 1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" b="3"/>
        <a:stretch>
          <a:fillRect/>
        </a:stretch>
      </xdr:blipFill>
      <xdr:spPr bwMode="auto">
        <a:xfrm>
          <a:off x="617220" y="7178040"/>
          <a:ext cx="16535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23</xdr:row>
      <xdr:rowOff>7620</xdr:rowOff>
    </xdr:from>
    <xdr:to>
      <xdr:col>3</xdr:col>
      <xdr:colOff>449580</xdr:colOff>
      <xdr:row>26</xdr:row>
      <xdr:rowOff>144780</xdr:rowOff>
    </xdr:to>
    <xdr:pic>
      <xdr:nvPicPr>
        <xdr:cNvPr id="74868" name="Рисунок 1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8"/>
        <a:stretch>
          <a:fillRect/>
        </a:stretch>
      </xdr:blipFill>
      <xdr:spPr bwMode="auto">
        <a:xfrm>
          <a:off x="632460" y="672084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21</xdr:row>
      <xdr:rowOff>15240</xdr:rowOff>
    </xdr:from>
    <xdr:to>
      <xdr:col>3</xdr:col>
      <xdr:colOff>441960</xdr:colOff>
      <xdr:row>24</xdr:row>
      <xdr:rowOff>144780</xdr:rowOff>
    </xdr:to>
    <xdr:pic>
      <xdr:nvPicPr>
        <xdr:cNvPr id="74869" name="Рисунок 1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1"/>
        <a:stretch>
          <a:fillRect/>
        </a:stretch>
      </xdr:blipFill>
      <xdr:spPr bwMode="auto">
        <a:xfrm>
          <a:off x="632460" y="6271260"/>
          <a:ext cx="16383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22</xdr:row>
      <xdr:rowOff>7620</xdr:rowOff>
    </xdr:from>
    <xdr:to>
      <xdr:col>3</xdr:col>
      <xdr:colOff>449580</xdr:colOff>
      <xdr:row>25</xdr:row>
      <xdr:rowOff>144780</xdr:rowOff>
    </xdr:to>
    <xdr:pic>
      <xdr:nvPicPr>
        <xdr:cNvPr id="74870" name="Рисунок 1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"/>
        <a:stretch>
          <a:fillRect/>
        </a:stretch>
      </xdr:blipFill>
      <xdr:spPr bwMode="auto">
        <a:xfrm>
          <a:off x="632460" y="6492240"/>
          <a:ext cx="16459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</xdr:row>
      <xdr:rowOff>15240</xdr:rowOff>
    </xdr:from>
    <xdr:to>
      <xdr:col>3</xdr:col>
      <xdr:colOff>441960</xdr:colOff>
      <xdr:row>23</xdr:row>
      <xdr:rowOff>144780</xdr:rowOff>
    </xdr:to>
    <xdr:pic>
      <xdr:nvPicPr>
        <xdr:cNvPr id="74871" name="Рисунок 1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"/>
        <a:stretch>
          <a:fillRect/>
        </a:stretch>
      </xdr:blipFill>
      <xdr:spPr bwMode="auto">
        <a:xfrm>
          <a:off x="617220" y="6042660"/>
          <a:ext cx="1653540" cy="8153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</xdr:row>
      <xdr:rowOff>15240</xdr:rowOff>
    </xdr:from>
    <xdr:to>
      <xdr:col>3</xdr:col>
      <xdr:colOff>441960</xdr:colOff>
      <xdr:row>21</xdr:row>
      <xdr:rowOff>137160</xdr:rowOff>
    </xdr:to>
    <xdr:pic>
      <xdr:nvPicPr>
        <xdr:cNvPr id="74872" name="Рисунок 1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"/>
        <a:stretch>
          <a:fillRect/>
        </a:stretch>
      </xdr:blipFill>
      <xdr:spPr bwMode="auto">
        <a:xfrm>
          <a:off x="640080" y="5585460"/>
          <a:ext cx="16306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</xdr:row>
      <xdr:rowOff>15240</xdr:rowOff>
    </xdr:from>
    <xdr:to>
      <xdr:col>3</xdr:col>
      <xdr:colOff>419100</xdr:colOff>
      <xdr:row>22</xdr:row>
      <xdr:rowOff>144780</xdr:rowOff>
    </xdr:to>
    <xdr:pic>
      <xdr:nvPicPr>
        <xdr:cNvPr id="74873" name="Рисунок 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"/>
        <a:stretch>
          <a:fillRect/>
        </a:stretch>
      </xdr:blipFill>
      <xdr:spPr bwMode="auto">
        <a:xfrm>
          <a:off x="647700" y="5814060"/>
          <a:ext cx="16002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</xdr:row>
      <xdr:rowOff>30480</xdr:rowOff>
    </xdr:from>
    <xdr:to>
      <xdr:col>3</xdr:col>
      <xdr:colOff>426720</xdr:colOff>
      <xdr:row>29</xdr:row>
      <xdr:rowOff>114300</xdr:rowOff>
    </xdr:to>
    <xdr:pic>
      <xdr:nvPicPr>
        <xdr:cNvPr id="74874" name="Рисунок 1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"/>
        <a:stretch>
          <a:fillRect/>
        </a:stretch>
      </xdr:blipFill>
      <xdr:spPr bwMode="auto">
        <a:xfrm>
          <a:off x="647700" y="7437120"/>
          <a:ext cx="16078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27</xdr:row>
      <xdr:rowOff>7620</xdr:rowOff>
    </xdr:from>
    <xdr:to>
      <xdr:col>3</xdr:col>
      <xdr:colOff>426720</xdr:colOff>
      <xdr:row>30</xdr:row>
      <xdr:rowOff>137160</xdr:rowOff>
    </xdr:to>
    <xdr:pic>
      <xdr:nvPicPr>
        <xdr:cNvPr id="74875" name="Рисунок 1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"/>
        <a:stretch>
          <a:fillRect/>
        </a:stretch>
      </xdr:blipFill>
      <xdr:spPr bwMode="auto">
        <a:xfrm>
          <a:off x="617220" y="7650480"/>
          <a:ext cx="16383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28</xdr:row>
      <xdr:rowOff>7620</xdr:rowOff>
    </xdr:from>
    <xdr:to>
      <xdr:col>3</xdr:col>
      <xdr:colOff>449580</xdr:colOff>
      <xdr:row>31</xdr:row>
      <xdr:rowOff>137160</xdr:rowOff>
    </xdr:to>
    <xdr:pic>
      <xdr:nvPicPr>
        <xdr:cNvPr id="74876" name="Рисунок 2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"/>
        <a:stretch>
          <a:fillRect/>
        </a:stretch>
      </xdr:blipFill>
      <xdr:spPr bwMode="auto">
        <a:xfrm>
          <a:off x="617220" y="819912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29</xdr:row>
      <xdr:rowOff>7620</xdr:rowOff>
    </xdr:from>
    <xdr:to>
      <xdr:col>3</xdr:col>
      <xdr:colOff>441960</xdr:colOff>
      <xdr:row>32</xdr:row>
      <xdr:rowOff>106680</xdr:rowOff>
    </xdr:to>
    <xdr:pic>
      <xdr:nvPicPr>
        <xdr:cNvPr id="74877" name="Рисунок 2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35"/>
        <a:stretch>
          <a:fillRect/>
        </a:stretch>
      </xdr:blipFill>
      <xdr:spPr bwMode="auto">
        <a:xfrm>
          <a:off x="632460" y="8564880"/>
          <a:ext cx="163830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31</xdr:row>
      <xdr:rowOff>7620</xdr:rowOff>
    </xdr:from>
    <xdr:to>
      <xdr:col>3</xdr:col>
      <xdr:colOff>426720</xdr:colOff>
      <xdr:row>34</xdr:row>
      <xdr:rowOff>76200</xdr:rowOff>
    </xdr:to>
    <xdr:pic>
      <xdr:nvPicPr>
        <xdr:cNvPr id="74878" name="Рисунок 2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76"/>
        <a:stretch>
          <a:fillRect/>
        </a:stretch>
      </xdr:blipFill>
      <xdr:spPr bwMode="auto">
        <a:xfrm>
          <a:off x="632460" y="9311640"/>
          <a:ext cx="162306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33</xdr:row>
      <xdr:rowOff>7620</xdr:rowOff>
    </xdr:from>
    <xdr:to>
      <xdr:col>3</xdr:col>
      <xdr:colOff>426720</xdr:colOff>
      <xdr:row>37</xdr:row>
      <xdr:rowOff>0</xdr:rowOff>
    </xdr:to>
    <xdr:pic>
      <xdr:nvPicPr>
        <xdr:cNvPr id="74879" name="Рисунок 2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56"/>
        <a:stretch>
          <a:fillRect/>
        </a:stretch>
      </xdr:blipFill>
      <xdr:spPr bwMode="auto">
        <a:xfrm>
          <a:off x="617220" y="10096500"/>
          <a:ext cx="16383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35</xdr:row>
      <xdr:rowOff>15240</xdr:rowOff>
    </xdr:from>
    <xdr:to>
      <xdr:col>3</xdr:col>
      <xdr:colOff>441960</xdr:colOff>
      <xdr:row>38</xdr:row>
      <xdr:rowOff>129540</xdr:rowOff>
    </xdr:to>
    <xdr:pic>
      <xdr:nvPicPr>
        <xdr:cNvPr id="74880" name="Рисунок 2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/>
        <a:stretch>
          <a:fillRect/>
        </a:stretch>
      </xdr:blipFill>
      <xdr:spPr bwMode="auto">
        <a:xfrm>
          <a:off x="617220" y="11018520"/>
          <a:ext cx="16535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34</xdr:row>
      <xdr:rowOff>7620</xdr:rowOff>
    </xdr:from>
    <xdr:to>
      <xdr:col>3</xdr:col>
      <xdr:colOff>426720</xdr:colOff>
      <xdr:row>38</xdr:row>
      <xdr:rowOff>0</xdr:rowOff>
    </xdr:to>
    <xdr:pic>
      <xdr:nvPicPr>
        <xdr:cNvPr id="74881" name="Рисунок 2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" b="-99"/>
        <a:stretch>
          <a:fillRect/>
        </a:stretch>
      </xdr:blipFill>
      <xdr:spPr bwMode="auto">
        <a:xfrm>
          <a:off x="632460" y="10645140"/>
          <a:ext cx="16230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32</xdr:row>
      <xdr:rowOff>7620</xdr:rowOff>
    </xdr:from>
    <xdr:to>
      <xdr:col>3</xdr:col>
      <xdr:colOff>419100</xdr:colOff>
      <xdr:row>36</xdr:row>
      <xdr:rowOff>0</xdr:rowOff>
    </xdr:to>
    <xdr:pic>
      <xdr:nvPicPr>
        <xdr:cNvPr id="74882" name="Рисунок 2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93"/>
        <a:stretch>
          <a:fillRect/>
        </a:stretch>
      </xdr:blipFill>
      <xdr:spPr bwMode="auto">
        <a:xfrm>
          <a:off x="640080" y="9547860"/>
          <a:ext cx="160782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37</xdr:row>
      <xdr:rowOff>7620</xdr:rowOff>
    </xdr:from>
    <xdr:to>
      <xdr:col>3</xdr:col>
      <xdr:colOff>441960</xdr:colOff>
      <xdr:row>40</xdr:row>
      <xdr:rowOff>144780</xdr:rowOff>
    </xdr:to>
    <xdr:pic>
      <xdr:nvPicPr>
        <xdr:cNvPr id="74883" name="Рисунок 2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8" b="-79"/>
        <a:stretch>
          <a:fillRect/>
        </a:stretch>
      </xdr:blipFill>
      <xdr:spPr bwMode="auto">
        <a:xfrm>
          <a:off x="617220" y="11574780"/>
          <a:ext cx="165354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41</xdr:row>
      <xdr:rowOff>0</xdr:rowOff>
    </xdr:from>
    <xdr:to>
      <xdr:col>3</xdr:col>
      <xdr:colOff>419100</xdr:colOff>
      <xdr:row>44</xdr:row>
      <xdr:rowOff>83820</xdr:rowOff>
    </xdr:to>
    <xdr:pic>
      <xdr:nvPicPr>
        <xdr:cNvPr id="74884" name="Рисунок 2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" b="3"/>
        <a:stretch>
          <a:fillRect/>
        </a:stretch>
      </xdr:blipFill>
      <xdr:spPr bwMode="auto">
        <a:xfrm>
          <a:off x="632460" y="13464540"/>
          <a:ext cx="16154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7620</xdr:rowOff>
    </xdr:from>
    <xdr:to>
      <xdr:col>3</xdr:col>
      <xdr:colOff>441960</xdr:colOff>
      <xdr:row>48</xdr:row>
      <xdr:rowOff>106680</xdr:rowOff>
    </xdr:to>
    <xdr:pic>
      <xdr:nvPicPr>
        <xdr:cNvPr id="74885" name="Рисунок 2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4676120"/>
          <a:ext cx="16535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15240</xdr:rowOff>
    </xdr:from>
    <xdr:to>
      <xdr:col>3</xdr:col>
      <xdr:colOff>426720</xdr:colOff>
      <xdr:row>49</xdr:row>
      <xdr:rowOff>99060</xdr:rowOff>
    </xdr:to>
    <xdr:pic>
      <xdr:nvPicPr>
        <xdr:cNvPr id="74886" name="Рисунок 3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35"/>
        <a:stretch>
          <a:fillRect/>
        </a:stretch>
      </xdr:blipFill>
      <xdr:spPr bwMode="auto">
        <a:xfrm>
          <a:off x="609600" y="15049500"/>
          <a:ext cx="16459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3</xdr:col>
      <xdr:colOff>441960</xdr:colOff>
      <xdr:row>51</xdr:row>
      <xdr:rowOff>137160</xdr:rowOff>
    </xdr:to>
    <xdr:pic>
      <xdr:nvPicPr>
        <xdr:cNvPr id="74887" name="Рисунок 3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119"/>
        <a:stretch>
          <a:fillRect/>
        </a:stretch>
      </xdr:blipFill>
      <xdr:spPr bwMode="auto">
        <a:xfrm>
          <a:off x="617220" y="156057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49</xdr:row>
      <xdr:rowOff>15240</xdr:rowOff>
    </xdr:from>
    <xdr:to>
      <xdr:col>3</xdr:col>
      <xdr:colOff>441960</xdr:colOff>
      <xdr:row>52</xdr:row>
      <xdr:rowOff>129540</xdr:rowOff>
    </xdr:to>
    <xdr:pic>
      <xdr:nvPicPr>
        <xdr:cNvPr id="74888" name="Рисунок 3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8" b="-134"/>
        <a:stretch>
          <a:fillRect/>
        </a:stretch>
      </xdr:blipFill>
      <xdr:spPr bwMode="auto">
        <a:xfrm>
          <a:off x="632460" y="15979140"/>
          <a:ext cx="16383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3</xdr:col>
      <xdr:colOff>441960</xdr:colOff>
      <xdr:row>60</xdr:row>
      <xdr:rowOff>144780</xdr:rowOff>
    </xdr:to>
    <xdr:pic>
      <xdr:nvPicPr>
        <xdr:cNvPr id="74889" name="Рисунок 12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8653760"/>
          <a:ext cx="165354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3</xdr:col>
      <xdr:colOff>426720</xdr:colOff>
      <xdr:row>54</xdr:row>
      <xdr:rowOff>60960</xdr:rowOff>
    </xdr:to>
    <xdr:pic>
      <xdr:nvPicPr>
        <xdr:cNvPr id="74890" name="Рисунок 3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-116"/>
        <a:stretch>
          <a:fillRect/>
        </a:stretch>
      </xdr:blipFill>
      <xdr:spPr bwMode="auto">
        <a:xfrm>
          <a:off x="617220" y="16718280"/>
          <a:ext cx="163830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54</xdr:row>
      <xdr:rowOff>7620</xdr:rowOff>
    </xdr:from>
    <xdr:to>
      <xdr:col>3</xdr:col>
      <xdr:colOff>441960</xdr:colOff>
      <xdr:row>57</xdr:row>
      <xdr:rowOff>99060</xdr:rowOff>
    </xdr:to>
    <xdr:pic>
      <xdr:nvPicPr>
        <xdr:cNvPr id="74891" name="Рисунок 3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124"/>
        <a:stretch>
          <a:fillRect/>
        </a:stretch>
      </xdr:blipFill>
      <xdr:spPr bwMode="auto">
        <a:xfrm>
          <a:off x="632460" y="17556480"/>
          <a:ext cx="163830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7620</xdr:rowOff>
    </xdr:from>
    <xdr:to>
      <xdr:col>3</xdr:col>
      <xdr:colOff>426720</xdr:colOff>
      <xdr:row>56</xdr:row>
      <xdr:rowOff>91440</xdr:rowOff>
    </xdr:to>
    <xdr:pic>
      <xdr:nvPicPr>
        <xdr:cNvPr id="74892" name="Рисунок 13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6" r="15" b="10985"/>
        <a:stretch>
          <a:fillRect/>
        </a:stretch>
      </xdr:blipFill>
      <xdr:spPr bwMode="auto">
        <a:xfrm>
          <a:off x="617220" y="1719072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56</xdr:row>
      <xdr:rowOff>7620</xdr:rowOff>
    </xdr:from>
    <xdr:to>
      <xdr:col>3</xdr:col>
      <xdr:colOff>441960</xdr:colOff>
      <xdr:row>59</xdr:row>
      <xdr:rowOff>99060</xdr:rowOff>
    </xdr:to>
    <xdr:pic>
      <xdr:nvPicPr>
        <xdr:cNvPr id="74893" name="Рисунок 3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" b="110"/>
        <a:stretch>
          <a:fillRect/>
        </a:stretch>
      </xdr:blipFill>
      <xdr:spPr bwMode="auto">
        <a:xfrm>
          <a:off x="617220" y="18288000"/>
          <a:ext cx="16535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59</xdr:row>
      <xdr:rowOff>7620</xdr:rowOff>
    </xdr:from>
    <xdr:to>
      <xdr:col>3</xdr:col>
      <xdr:colOff>449580</xdr:colOff>
      <xdr:row>62</xdr:row>
      <xdr:rowOff>137160</xdr:rowOff>
    </xdr:to>
    <xdr:pic>
      <xdr:nvPicPr>
        <xdr:cNvPr id="74894" name="Рисунок 3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107"/>
        <a:stretch>
          <a:fillRect/>
        </a:stretch>
      </xdr:blipFill>
      <xdr:spPr bwMode="auto">
        <a:xfrm>
          <a:off x="617220" y="19568160"/>
          <a:ext cx="166116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58</xdr:row>
      <xdr:rowOff>7620</xdr:rowOff>
    </xdr:from>
    <xdr:to>
      <xdr:col>3</xdr:col>
      <xdr:colOff>426720</xdr:colOff>
      <xdr:row>61</xdr:row>
      <xdr:rowOff>99060</xdr:rowOff>
    </xdr:to>
    <xdr:pic>
      <xdr:nvPicPr>
        <xdr:cNvPr id="74895" name="Рисунок 4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85"/>
        <a:stretch>
          <a:fillRect/>
        </a:stretch>
      </xdr:blipFill>
      <xdr:spPr bwMode="auto">
        <a:xfrm>
          <a:off x="632460" y="19019520"/>
          <a:ext cx="162306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52</xdr:row>
      <xdr:rowOff>7620</xdr:rowOff>
    </xdr:from>
    <xdr:to>
      <xdr:col>3</xdr:col>
      <xdr:colOff>441960</xdr:colOff>
      <xdr:row>55</xdr:row>
      <xdr:rowOff>83820</xdr:rowOff>
    </xdr:to>
    <xdr:pic>
      <xdr:nvPicPr>
        <xdr:cNvPr id="74896" name="Рисунок 4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61"/>
        <a:stretch>
          <a:fillRect/>
        </a:stretch>
      </xdr:blipFill>
      <xdr:spPr bwMode="auto">
        <a:xfrm>
          <a:off x="632460" y="16954500"/>
          <a:ext cx="163830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55</xdr:row>
      <xdr:rowOff>15240</xdr:rowOff>
    </xdr:from>
    <xdr:to>
      <xdr:col>3</xdr:col>
      <xdr:colOff>426720</xdr:colOff>
      <xdr:row>58</xdr:row>
      <xdr:rowOff>106680</xdr:rowOff>
    </xdr:to>
    <xdr:pic>
      <xdr:nvPicPr>
        <xdr:cNvPr id="74897" name="Рисунок 4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43"/>
        <a:stretch>
          <a:fillRect/>
        </a:stretch>
      </xdr:blipFill>
      <xdr:spPr bwMode="auto">
        <a:xfrm>
          <a:off x="632460" y="17929860"/>
          <a:ext cx="162306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60</xdr:row>
      <xdr:rowOff>7620</xdr:rowOff>
    </xdr:from>
    <xdr:to>
      <xdr:col>3</xdr:col>
      <xdr:colOff>441960</xdr:colOff>
      <xdr:row>63</xdr:row>
      <xdr:rowOff>144780</xdr:rowOff>
    </xdr:to>
    <xdr:pic>
      <xdr:nvPicPr>
        <xdr:cNvPr id="74898" name="Рисунок 4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43" r="10886" b="9593"/>
        <a:stretch>
          <a:fillRect/>
        </a:stretch>
      </xdr:blipFill>
      <xdr:spPr bwMode="auto">
        <a:xfrm>
          <a:off x="632460" y="19941540"/>
          <a:ext cx="1638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61</xdr:row>
      <xdr:rowOff>7620</xdr:rowOff>
    </xdr:from>
    <xdr:to>
      <xdr:col>3</xdr:col>
      <xdr:colOff>426720</xdr:colOff>
      <xdr:row>64</xdr:row>
      <xdr:rowOff>129540</xdr:rowOff>
    </xdr:to>
    <xdr:pic>
      <xdr:nvPicPr>
        <xdr:cNvPr id="74899" name="Рисунок 4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485" b="25607"/>
        <a:stretch>
          <a:fillRect/>
        </a:stretch>
      </xdr:blipFill>
      <xdr:spPr bwMode="auto">
        <a:xfrm>
          <a:off x="617220" y="20497800"/>
          <a:ext cx="16383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65</xdr:row>
      <xdr:rowOff>7620</xdr:rowOff>
    </xdr:from>
    <xdr:to>
      <xdr:col>3</xdr:col>
      <xdr:colOff>441960</xdr:colOff>
      <xdr:row>68</xdr:row>
      <xdr:rowOff>175260</xdr:rowOff>
    </xdr:to>
    <xdr:pic>
      <xdr:nvPicPr>
        <xdr:cNvPr id="74900" name="Рисунок 6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17"/>
        <a:stretch>
          <a:fillRect/>
        </a:stretch>
      </xdr:blipFill>
      <xdr:spPr bwMode="auto">
        <a:xfrm>
          <a:off x="617220" y="21488400"/>
          <a:ext cx="16535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3</xdr:col>
      <xdr:colOff>441960</xdr:colOff>
      <xdr:row>70</xdr:row>
      <xdr:rowOff>160020</xdr:rowOff>
    </xdr:to>
    <xdr:pic>
      <xdr:nvPicPr>
        <xdr:cNvPr id="74901" name="Рисунок 6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64"/>
        <a:stretch>
          <a:fillRect/>
        </a:stretch>
      </xdr:blipFill>
      <xdr:spPr bwMode="auto">
        <a:xfrm>
          <a:off x="617220" y="21861780"/>
          <a:ext cx="16535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3</xdr:col>
      <xdr:colOff>449580</xdr:colOff>
      <xdr:row>73</xdr:row>
      <xdr:rowOff>0</xdr:rowOff>
    </xdr:to>
    <xdr:pic>
      <xdr:nvPicPr>
        <xdr:cNvPr id="74902" name="Рисунок 6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1" b="3"/>
        <a:stretch>
          <a:fillRect/>
        </a:stretch>
      </xdr:blipFill>
      <xdr:spPr bwMode="auto">
        <a:xfrm>
          <a:off x="617220" y="2223516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3</xdr:col>
      <xdr:colOff>449580</xdr:colOff>
      <xdr:row>74</xdr:row>
      <xdr:rowOff>38100</xdr:rowOff>
    </xdr:to>
    <xdr:pic>
      <xdr:nvPicPr>
        <xdr:cNvPr id="74903" name="Рисунок 6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166"/>
        <a:stretch>
          <a:fillRect/>
        </a:stretch>
      </xdr:blipFill>
      <xdr:spPr bwMode="auto">
        <a:xfrm>
          <a:off x="609600" y="22837140"/>
          <a:ext cx="16687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3</xdr:col>
      <xdr:colOff>441960</xdr:colOff>
      <xdr:row>73</xdr:row>
      <xdr:rowOff>53340</xdr:rowOff>
    </xdr:to>
    <xdr:pic>
      <xdr:nvPicPr>
        <xdr:cNvPr id="74904" name="Рисунок 922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2608540"/>
          <a:ext cx="165354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7620</xdr:rowOff>
    </xdr:from>
    <xdr:to>
      <xdr:col>3</xdr:col>
      <xdr:colOff>449580</xdr:colOff>
      <xdr:row>76</xdr:row>
      <xdr:rowOff>175260</xdr:rowOff>
    </xdr:to>
    <xdr:pic>
      <xdr:nvPicPr>
        <xdr:cNvPr id="74905" name="Рисунок 6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2"/>
        <a:stretch>
          <a:fillRect/>
        </a:stretch>
      </xdr:blipFill>
      <xdr:spPr bwMode="auto">
        <a:xfrm>
          <a:off x="617220" y="230809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3</xdr:col>
      <xdr:colOff>449580</xdr:colOff>
      <xdr:row>93</xdr:row>
      <xdr:rowOff>0</xdr:rowOff>
    </xdr:to>
    <xdr:pic>
      <xdr:nvPicPr>
        <xdr:cNvPr id="74906" name="Рисунок 68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" b="-69"/>
        <a:stretch>
          <a:fillRect/>
        </a:stretch>
      </xdr:blipFill>
      <xdr:spPr bwMode="auto">
        <a:xfrm>
          <a:off x="617220" y="26791920"/>
          <a:ext cx="16611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3</xdr:col>
      <xdr:colOff>449580</xdr:colOff>
      <xdr:row>90</xdr:row>
      <xdr:rowOff>175260</xdr:rowOff>
    </xdr:to>
    <xdr:pic>
      <xdr:nvPicPr>
        <xdr:cNvPr id="74907" name="Рисунок 69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9" b="-108"/>
        <a:stretch>
          <a:fillRect/>
        </a:stretch>
      </xdr:blipFill>
      <xdr:spPr bwMode="auto">
        <a:xfrm>
          <a:off x="617220" y="263347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3</xdr:col>
      <xdr:colOff>441960</xdr:colOff>
      <xdr:row>89</xdr:row>
      <xdr:rowOff>0</xdr:rowOff>
    </xdr:to>
    <xdr:pic>
      <xdr:nvPicPr>
        <xdr:cNvPr id="74908" name="Рисунок 70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 b="-89"/>
        <a:stretch>
          <a:fillRect/>
        </a:stretch>
      </xdr:blipFill>
      <xdr:spPr bwMode="auto">
        <a:xfrm>
          <a:off x="632460" y="25862280"/>
          <a:ext cx="16383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3</xdr:col>
      <xdr:colOff>449580</xdr:colOff>
      <xdr:row>78</xdr:row>
      <xdr:rowOff>144780</xdr:rowOff>
    </xdr:to>
    <xdr:pic>
      <xdr:nvPicPr>
        <xdr:cNvPr id="74909" name="Рисунок 7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" b="-29"/>
        <a:stretch>
          <a:fillRect/>
        </a:stretch>
      </xdr:blipFill>
      <xdr:spPr bwMode="auto">
        <a:xfrm>
          <a:off x="632460" y="2354580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77</xdr:row>
      <xdr:rowOff>7620</xdr:rowOff>
    </xdr:from>
    <xdr:to>
      <xdr:col>3</xdr:col>
      <xdr:colOff>449580</xdr:colOff>
      <xdr:row>80</xdr:row>
      <xdr:rowOff>175260</xdr:rowOff>
    </xdr:to>
    <xdr:pic>
      <xdr:nvPicPr>
        <xdr:cNvPr id="74910" name="Рисунок 7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24"/>
        <a:stretch>
          <a:fillRect/>
        </a:stretch>
      </xdr:blipFill>
      <xdr:spPr bwMode="auto">
        <a:xfrm>
          <a:off x="617220" y="240106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3</xdr:col>
      <xdr:colOff>449580</xdr:colOff>
      <xdr:row>95</xdr:row>
      <xdr:rowOff>0</xdr:rowOff>
    </xdr:to>
    <xdr:pic>
      <xdr:nvPicPr>
        <xdr:cNvPr id="74911" name="Рисунок 7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41"/>
        <a:stretch>
          <a:fillRect/>
        </a:stretch>
      </xdr:blipFill>
      <xdr:spPr bwMode="auto">
        <a:xfrm>
          <a:off x="617220" y="272643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3</xdr:col>
      <xdr:colOff>449580</xdr:colOff>
      <xdr:row>96</xdr:row>
      <xdr:rowOff>175260</xdr:rowOff>
    </xdr:to>
    <xdr:pic>
      <xdr:nvPicPr>
        <xdr:cNvPr id="74912" name="Рисунок 7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" b="-79"/>
        <a:stretch>
          <a:fillRect/>
        </a:stretch>
      </xdr:blipFill>
      <xdr:spPr bwMode="auto">
        <a:xfrm>
          <a:off x="617220" y="277291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3</xdr:col>
      <xdr:colOff>449580</xdr:colOff>
      <xdr:row>101</xdr:row>
      <xdr:rowOff>0</xdr:rowOff>
    </xdr:to>
    <xdr:pic>
      <xdr:nvPicPr>
        <xdr:cNvPr id="74913" name="Рисунок 7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" b="98"/>
        <a:stretch>
          <a:fillRect/>
        </a:stretch>
      </xdr:blipFill>
      <xdr:spPr bwMode="auto">
        <a:xfrm>
          <a:off x="609600" y="28651200"/>
          <a:ext cx="166878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7620</xdr:rowOff>
    </xdr:from>
    <xdr:to>
      <xdr:col>3</xdr:col>
      <xdr:colOff>449580</xdr:colOff>
      <xdr:row>99</xdr:row>
      <xdr:rowOff>0</xdr:rowOff>
    </xdr:to>
    <xdr:pic>
      <xdr:nvPicPr>
        <xdr:cNvPr id="74914" name="Рисунок 76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4" b="-60"/>
        <a:stretch>
          <a:fillRect/>
        </a:stretch>
      </xdr:blipFill>
      <xdr:spPr bwMode="auto">
        <a:xfrm>
          <a:off x="609600" y="28194000"/>
          <a:ext cx="16687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102</xdr:row>
      <xdr:rowOff>7620</xdr:rowOff>
    </xdr:from>
    <xdr:to>
      <xdr:col>3</xdr:col>
      <xdr:colOff>449580</xdr:colOff>
      <xdr:row>105</xdr:row>
      <xdr:rowOff>7620</xdr:rowOff>
    </xdr:to>
    <xdr:pic>
      <xdr:nvPicPr>
        <xdr:cNvPr id="74915" name="Рисунок 7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587" b="33289"/>
        <a:stretch>
          <a:fillRect/>
        </a:stretch>
      </xdr:blipFill>
      <xdr:spPr bwMode="auto">
        <a:xfrm>
          <a:off x="617220" y="3059430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101</xdr:row>
      <xdr:rowOff>7620</xdr:rowOff>
    </xdr:from>
    <xdr:to>
      <xdr:col>3</xdr:col>
      <xdr:colOff>449580</xdr:colOff>
      <xdr:row>104</xdr:row>
      <xdr:rowOff>15240</xdr:rowOff>
    </xdr:to>
    <xdr:pic>
      <xdr:nvPicPr>
        <xdr:cNvPr id="74916" name="Рисунок 7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33670"/>
        <a:stretch>
          <a:fillRect/>
        </a:stretch>
      </xdr:blipFill>
      <xdr:spPr bwMode="auto">
        <a:xfrm>
          <a:off x="617220" y="29862780"/>
          <a:ext cx="166116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3</xdr:col>
      <xdr:colOff>449580</xdr:colOff>
      <xdr:row>82</xdr:row>
      <xdr:rowOff>152400</xdr:rowOff>
    </xdr:to>
    <xdr:pic>
      <xdr:nvPicPr>
        <xdr:cNvPr id="74917" name="Рисунок 7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617220" y="244754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100</xdr:row>
      <xdr:rowOff>7620</xdr:rowOff>
    </xdr:from>
    <xdr:to>
      <xdr:col>3</xdr:col>
      <xdr:colOff>449580</xdr:colOff>
      <xdr:row>103</xdr:row>
      <xdr:rowOff>7620</xdr:rowOff>
    </xdr:to>
    <xdr:pic>
      <xdr:nvPicPr>
        <xdr:cNvPr id="74918" name="Рисунок 8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-85"/>
        <a:stretch>
          <a:fillRect/>
        </a:stretch>
      </xdr:blipFill>
      <xdr:spPr bwMode="auto">
        <a:xfrm>
          <a:off x="617220" y="29314140"/>
          <a:ext cx="166116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3</xdr:col>
      <xdr:colOff>449580</xdr:colOff>
      <xdr:row>84</xdr:row>
      <xdr:rowOff>175260</xdr:rowOff>
    </xdr:to>
    <xdr:pic>
      <xdr:nvPicPr>
        <xdr:cNvPr id="74919" name="Рисунок 8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3"/>
        <a:stretch>
          <a:fillRect/>
        </a:stretch>
      </xdr:blipFill>
      <xdr:spPr bwMode="auto">
        <a:xfrm>
          <a:off x="609600" y="24932640"/>
          <a:ext cx="16687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0</xdr:rowOff>
    </xdr:from>
    <xdr:to>
      <xdr:col>3</xdr:col>
      <xdr:colOff>449580</xdr:colOff>
      <xdr:row>86</xdr:row>
      <xdr:rowOff>175260</xdr:rowOff>
    </xdr:to>
    <xdr:pic>
      <xdr:nvPicPr>
        <xdr:cNvPr id="74920" name="Рисунок 8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-98"/>
        <a:stretch>
          <a:fillRect/>
        </a:stretch>
      </xdr:blipFill>
      <xdr:spPr bwMode="auto">
        <a:xfrm>
          <a:off x="617220" y="2539746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3</xdr:col>
      <xdr:colOff>449580</xdr:colOff>
      <xdr:row>106</xdr:row>
      <xdr:rowOff>15240</xdr:rowOff>
    </xdr:to>
    <xdr:pic>
      <xdr:nvPicPr>
        <xdr:cNvPr id="74921" name="Рисунок 8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81"/>
        <a:stretch>
          <a:fillRect/>
        </a:stretch>
      </xdr:blipFill>
      <xdr:spPr bwMode="auto">
        <a:xfrm>
          <a:off x="609600" y="31135320"/>
          <a:ext cx="16687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105</xdr:row>
      <xdr:rowOff>7620</xdr:rowOff>
    </xdr:from>
    <xdr:to>
      <xdr:col>3</xdr:col>
      <xdr:colOff>449580</xdr:colOff>
      <xdr:row>108</xdr:row>
      <xdr:rowOff>60960</xdr:rowOff>
    </xdr:to>
    <xdr:pic>
      <xdr:nvPicPr>
        <xdr:cNvPr id="74922" name="Рисунок 8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81"/>
        <a:stretch>
          <a:fillRect/>
        </a:stretch>
      </xdr:blipFill>
      <xdr:spPr bwMode="auto">
        <a:xfrm>
          <a:off x="617220" y="31889700"/>
          <a:ext cx="16611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106</xdr:row>
      <xdr:rowOff>7620</xdr:rowOff>
    </xdr:from>
    <xdr:to>
      <xdr:col>3</xdr:col>
      <xdr:colOff>449580</xdr:colOff>
      <xdr:row>109</xdr:row>
      <xdr:rowOff>45720</xdr:rowOff>
    </xdr:to>
    <xdr:pic>
      <xdr:nvPicPr>
        <xdr:cNvPr id="74923" name="Рисунок 8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119"/>
        <a:stretch>
          <a:fillRect/>
        </a:stretch>
      </xdr:blipFill>
      <xdr:spPr bwMode="auto">
        <a:xfrm>
          <a:off x="617220" y="3262122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108</xdr:row>
      <xdr:rowOff>7620</xdr:rowOff>
    </xdr:from>
    <xdr:to>
      <xdr:col>3</xdr:col>
      <xdr:colOff>449580</xdr:colOff>
      <xdr:row>113</xdr:row>
      <xdr:rowOff>91440</xdr:rowOff>
    </xdr:to>
    <xdr:pic>
      <xdr:nvPicPr>
        <xdr:cNvPr id="74924" name="Рисунок 8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3" b="-73"/>
        <a:stretch>
          <a:fillRect/>
        </a:stretch>
      </xdr:blipFill>
      <xdr:spPr bwMode="auto">
        <a:xfrm>
          <a:off x="617220" y="3318510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112</xdr:row>
      <xdr:rowOff>0</xdr:rowOff>
    </xdr:from>
    <xdr:to>
      <xdr:col>3</xdr:col>
      <xdr:colOff>449580</xdr:colOff>
      <xdr:row>115</xdr:row>
      <xdr:rowOff>175260</xdr:rowOff>
    </xdr:to>
    <xdr:pic>
      <xdr:nvPicPr>
        <xdr:cNvPr id="74925" name="Рисунок 8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" b="107"/>
        <a:stretch>
          <a:fillRect/>
        </a:stretch>
      </xdr:blipFill>
      <xdr:spPr bwMode="auto">
        <a:xfrm>
          <a:off x="617220" y="3410712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114</xdr:row>
      <xdr:rowOff>7620</xdr:rowOff>
    </xdr:from>
    <xdr:to>
      <xdr:col>3</xdr:col>
      <xdr:colOff>449580</xdr:colOff>
      <xdr:row>118</xdr:row>
      <xdr:rowOff>0</xdr:rowOff>
    </xdr:to>
    <xdr:pic>
      <xdr:nvPicPr>
        <xdr:cNvPr id="74926" name="Рисунок 8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69"/>
        <a:stretch>
          <a:fillRect/>
        </a:stretch>
      </xdr:blipFill>
      <xdr:spPr bwMode="auto">
        <a:xfrm>
          <a:off x="617220" y="345795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116</xdr:row>
      <xdr:rowOff>7620</xdr:rowOff>
    </xdr:from>
    <xdr:to>
      <xdr:col>3</xdr:col>
      <xdr:colOff>449580</xdr:colOff>
      <xdr:row>119</xdr:row>
      <xdr:rowOff>175260</xdr:rowOff>
    </xdr:to>
    <xdr:pic>
      <xdr:nvPicPr>
        <xdr:cNvPr id="74927" name="Рисунок 8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" b="-21"/>
        <a:stretch>
          <a:fillRect/>
        </a:stretch>
      </xdr:blipFill>
      <xdr:spPr bwMode="auto">
        <a:xfrm>
          <a:off x="617220" y="350443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118</xdr:row>
      <xdr:rowOff>7620</xdr:rowOff>
    </xdr:from>
    <xdr:to>
      <xdr:col>3</xdr:col>
      <xdr:colOff>449580</xdr:colOff>
      <xdr:row>121</xdr:row>
      <xdr:rowOff>175260</xdr:rowOff>
    </xdr:to>
    <xdr:pic>
      <xdr:nvPicPr>
        <xdr:cNvPr id="74928" name="Рисунок 9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" b="58"/>
        <a:stretch>
          <a:fillRect/>
        </a:stretch>
      </xdr:blipFill>
      <xdr:spPr bwMode="auto">
        <a:xfrm>
          <a:off x="617220" y="3550920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3</xdr:col>
      <xdr:colOff>449580</xdr:colOff>
      <xdr:row>123</xdr:row>
      <xdr:rowOff>114300</xdr:rowOff>
    </xdr:to>
    <xdr:pic>
      <xdr:nvPicPr>
        <xdr:cNvPr id="74929" name="Рисунок 9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" b="391"/>
        <a:stretch>
          <a:fillRect/>
        </a:stretch>
      </xdr:blipFill>
      <xdr:spPr bwMode="auto">
        <a:xfrm>
          <a:off x="617220" y="35974020"/>
          <a:ext cx="16611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358140</xdr:rowOff>
    </xdr:from>
    <xdr:to>
      <xdr:col>3</xdr:col>
      <xdr:colOff>449580</xdr:colOff>
      <xdr:row>126</xdr:row>
      <xdr:rowOff>91440</xdr:rowOff>
    </xdr:to>
    <xdr:pic>
      <xdr:nvPicPr>
        <xdr:cNvPr id="74930" name="Рисунок 9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8" b="46"/>
        <a:stretch>
          <a:fillRect/>
        </a:stretch>
      </xdr:blipFill>
      <xdr:spPr bwMode="auto">
        <a:xfrm>
          <a:off x="617220" y="36431220"/>
          <a:ext cx="1661160" cy="211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124</xdr:row>
      <xdr:rowOff>0</xdr:rowOff>
    </xdr:from>
    <xdr:to>
      <xdr:col>3</xdr:col>
      <xdr:colOff>449580</xdr:colOff>
      <xdr:row>128</xdr:row>
      <xdr:rowOff>99060</xdr:rowOff>
    </xdr:to>
    <xdr:pic>
      <xdr:nvPicPr>
        <xdr:cNvPr id="74931" name="Рисунок 9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" b="37"/>
        <a:stretch>
          <a:fillRect/>
        </a:stretch>
      </xdr:blipFill>
      <xdr:spPr bwMode="auto">
        <a:xfrm>
          <a:off x="617220" y="37719000"/>
          <a:ext cx="16611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127</xdr:row>
      <xdr:rowOff>7620</xdr:rowOff>
    </xdr:from>
    <xdr:to>
      <xdr:col>3</xdr:col>
      <xdr:colOff>449580</xdr:colOff>
      <xdr:row>132</xdr:row>
      <xdr:rowOff>175260</xdr:rowOff>
    </xdr:to>
    <xdr:pic>
      <xdr:nvPicPr>
        <xdr:cNvPr id="74932" name="Рисунок 9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9" b="105"/>
        <a:stretch>
          <a:fillRect/>
        </a:stretch>
      </xdr:blipFill>
      <xdr:spPr bwMode="auto">
        <a:xfrm>
          <a:off x="617220" y="38656260"/>
          <a:ext cx="166116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130</xdr:row>
      <xdr:rowOff>7620</xdr:rowOff>
    </xdr:from>
    <xdr:to>
      <xdr:col>3</xdr:col>
      <xdr:colOff>449580</xdr:colOff>
      <xdr:row>133</xdr:row>
      <xdr:rowOff>144780</xdr:rowOff>
    </xdr:to>
    <xdr:pic>
      <xdr:nvPicPr>
        <xdr:cNvPr id="74933" name="Рисунок 9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7" b="12"/>
        <a:stretch>
          <a:fillRect/>
        </a:stretch>
      </xdr:blipFill>
      <xdr:spPr bwMode="auto">
        <a:xfrm>
          <a:off x="617220" y="393573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132</xdr:row>
      <xdr:rowOff>0</xdr:rowOff>
    </xdr:from>
    <xdr:to>
      <xdr:col>3</xdr:col>
      <xdr:colOff>449580</xdr:colOff>
      <xdr:row>135</xdr:row>
      <xdr:rowOff>137160</xdr:rowOff>
    </xdr:to>
    <xdr:pic>
      <xdr:nvPicPr>
        <xdr:cNvPr id="74934" name="Рисунок 96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1" b="-67"/>
        <a:stretch>
          <a:fillRect/>
        </a:stretch>
      </xdr:blipFill>
      <xdr:spPr bwMode="auto">
        <a:xfrm>
          <a:off x="617220" y="398145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134</xdr:row>
      <xdr:rowOff>0</xdr:rowOff>
    </xdr:from>
    <xdr:to>
      <xdr:col>3</xdr:col>
      <xdr:colOff>449580</xdr:colOff>
      <xdr:row>137</xdr:row>
      <xdr:rowOff>121920</xdr:rowOff>
    </xdr:to>
    <xdr:pic>
      <xdr:nvPicPr>
        <xdr:cNvPr id="74935" name="Рисунок 9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"/>
        <a:stretch>
          <a:fillRect/>
        </a:stretch>
      </xdr:blipFill>
      <xdr:spPr bwMode="auto">
        <a:xfrm>
          <a:off x="617220" y="40279320"/>
          <a:ext cx="16611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136</xdr:row>
      <xdr:rowOff>0</xdr:rowOff>
    </xdr:from>
    <xdr:to>
      <xdr:col>3</xdr:col>
      <xdr:colOff>457200</xdr:colOff>
      <xdr:row>138</xdr:row>
      <xdr:rowOff>137160</xdr:rowOff>
    </xdr:to>
    <xdr:pic>
      <xdr:nvPicPr>
        <xdr:cNvPr id="74936" name="Рисунок 9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" b="-331"/>
        <a:stretch>
          <a:fillRect/>
        </a:stretch>
      </xdr:blipFill>
      <xdr:spPr bwMode="auto">
        <a:xfrm>
          <a:off x="617220" y="40744140"/>
          <a:ext cx="16687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137</xdr:row>
      <xdr:rowOff>0</xdr:rowOff>
    </xdr:from>
    <xdr:to>
      <xdr:col>3</xdr:col>
      <xdr:colOff>449580</xdr:colOff>
      <xdr:row>139</xdr:row>
      <xdr:rowOff>152400</xdr:rowOff>
    </xdr:to>
    <xdr:pic>
      <xdr:nvPicPr>
        <xdr:cNvPr id="74937" name="Рисунок 9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32" r="49" b="37"/>
        <a:stretch>
          <a:fillRect/>
        </a:stretch>
      </xdr:blipFill>
      <xdr:spPr bwMode="auto">
        <a:xfrm>
          <a:off x="617220" y="40980360"/>
          <a:ext cx="16611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138</xdr:row>
      <xdr:rowOff>7620</xdr:rowOff>
    </xdr:from>
    <xdr:to>
      <xdr:col>3</xdr:col>
      <xdr:colOff>449580</xdr:colOff>
      <xdr:row>140</xdr:row>
      <xdr:rowOff>175260</xdr:rowOff>
    </xdr:to>
    <xdr:pic>
      <xdr:nvPicPr>
        <xdr:cNvPr id="74938" name="Рисунок 10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" b="-18"/>
        <a:stretch>
          <a:fillRect/>
        </a:stretch>
      </xdr:blipFill>
      <xdr:spPr bwMode="auto">
        <a:xfrm>
          <a:off x="617220" y="41361360"/>
          <a:ext cx="16611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139</xdr:row>
      <xdr:rowOff>7620</xdr:rowOff>
    </xdr:from>
    <xdr:to>
      <xdr:col>3</xdr:col>
      <xdr:colOff>449580</xdr:colOff>
      <xdr:row>142</xdr:row>
      <xdr:rowOff>45720</xdr:rowOff>
    </xdr:to>
    <xdr:pic>
      <xdr:nvPicPr>
        <xdr:cNvPr id="74939" name="Рисунок 10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"/>
        <a:stretch>
          <a:fillRect/>
        </a:stretch>
      </xdr:blipFill>
      <xdr:spPr bwMode="auto">
        <a:xfrm>
          <a:off x="617220" y="417347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141</xdr:row>
      <xdr:rowOff>7620</xdr:rowOff>
    </xdr:from>
    <xdr:to>
      <xdr:col>3</xdr:col>
      <xdr:colOff>259080</xdr:colOff>
      <xdr:row>144</xdr:row>
      <xdr:rowOff>99060</xdr:rowOff>
    </xdr:to>
    <xdr:pic>
      <xdr:nvPicPr>
        <xdr:cNvPr id="74940" name="Рисунок 10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93"/>
        <a:stretch>
          <a:fillRect/>
        </a:stretch>
      </xdr:blipFill>
      <xdr:spPr bwMode="auto">
        <a:xfrm>
          <a:off x="792480" y="42298620"/>
          <a:ext cx="12954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148</xdr:row>
      <xdr:rowOff>38100</xdr:rowOff>
    </xdr:from>
    <xdr:to>
      <xdr:col>3</xdr:col>
      <xdr:colOff>76200</xdr:colOff>
      <xdr:row>151</xdr:row>
      <xdr:rowOff>137160</xdr:rowOff>
    </xdr:to>
    <xdr:pic>
      <xdr:nvPicPr>
        <xdr:cNvPr id="74941" name="Рисунок 10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85"/>
        <a:stretch>
          <a:fillRect/>
        </a:stretch>
      </xdr:blipFill>
      <xdr:spPr bwMode="auto">
        <a:xfrm>
          <a:off x="922020" y="45118020"/>
          <a:ext cx="9829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3</xdr:col>
      <xdr:colOff>449580</xdr:colOff>
      <xdr:row>176</xdr:row>
      <xdr:rowOff>76200</xdr:rowOff>
    </xdr:to>
    <xdr:pic>
      <xdr:nvPicPr>
        <xdr:cNvPr id="74942" name="Рисунок 104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4" b="-313"/>
        <a:stretch>
          <a:fillRect/>
        </a:stretch>
      </xdr:blipFill>
      <xdr:spPr bwMode="auto">
        <a:xfrm>
          <a:off x="609600" y="54223920"/>
          <a:ext cx="16687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175</xdr:row>
      <xdr:rowOff>7620</xdr:rowOff>
    </xdr:from>
    <xdr:to>
      <xdr:col>3</xdr:col>
      <xdr:colOff>449580</xdr:colOff>
      <xdr:row>177</xdr:row>
      <xdr:rowOff>68580</xdr:rowOff>
    </xdr:to>
    <xdr:pic>
      <xdr:nvPicPr>
        <xdr:cNvPr id="74943" name="Рисунок 17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460140"/>
          <a:ext cx="16687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153</xdr:row>
      <xdr:rowOff>45720</xdr:rowOff>
    </xdr:from>
    <xdr:to>
      <xdr:col>3</xdr:col>
      <xdr:colOff>30480</xdr:colOff>
      <xdr:row>156</xdr:row>
      <xdr:rowOff>106680</xdr:rowOff>
    </xdr:to>
    <xdr:pic>
      <xdr:nvPicPr>
        <xdr:cNvPr id="74944" name="Рисунок 106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47"/>
        <a:stretch>
          <a:fillRect/>
        </a:stretch>
      </xdr:blipFill>
      <xdr:spPr bwMode="auto">
        <a:xfrm>
          <a:off x="998220" y="46413420"/>
          <a:ext cx="86106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327660</xdr:colOff>
      <xdr:row>150</xdr:row>
      <xdr:rowOff>30480</xdr:rowOff>
    </xdr:from>
    <xdr:to>
      <xdr:col>3</xdr:col>
      <xdr:colOff>30480</xdr:colOff>
      <xdr:row>153</xdr:row>
      <xdr:rowOff>152400</xdr:rowOff>
    </xdr:to>
    <xdr:pic>
      <xdr:nvPicPr>
        <xdr:cNvPr id="74945" name="Рисунок 107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8"/>
        <a:stretch>
          <a:fillRect/>
        </a:stretch>
      </xdr:blipFill>
      <xdr:spPr bwMode="auto">
        <a:xfrm>
          <a:off x="937260" y="45575220"/>
          <a:ext cx="92202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449580</xdr:colOff>
      <xdr:row>156</xdr:row>
      <xdr:rowOff>7620</xdr:rowOff>
    </xdr:from>
    <xdr:to>
      <xdr:col>3</xdr:col>
      <xdr:colOff>7620</xdr:colOff>
      <xdr:row>159</xdr:row>
      <xdr:rowOff>152400</xdr:rowOff>
    </xdr:to>
    <xdr:pic>
      <xdr:nvPicPr>
        <xdr:cNvPr id="74946" name="Рисунок 108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" b="-58"/>
        <a:stretch>
          <a:fillRect/>
        </a:stretch>
      </xdr:blipFill>
      <xdr:spPr bwMode="auto">
        <a:xfrm>
          <a:off x="1059180" y="47655480"/>
          <a:ext cx="77724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157</xdr:row>
      <xdr:rowOff>15240</xdr:rowOff>
    </xdr:from>
    <xdr:to>
      <xdr:col>2</xdr:col>
      <xdr:colOff>594360</xdr:colOff>
      <xdr:row>160</xdr:row>
      <xdr:rowOff>137160</xdr:rowOff>
    </xdr:to>
    <xdr:pic>
      <xdr:nvPicPr>
        <xdr:cNvPr id="74947" name="Рисунок 10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" b="40"/>
        <a:stretch>
          <a:fillRect/>
        </a:stretch>
      </xdr:blipFill>
      <xdr:spPr bwMode="auto">
        <a:xfrm>
          <a:off x="1028700" y="48211740"/>
          <a:ext cx="7848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154</xdr:row>
      <xdr:rowOff>30480</xdr:rowOff>
    </xdr:from>
    <xdr:to>
      <xdr:col>3</xdr:col>
      <xdr:colOff>22860</xdr:colOff>
      <xdr:row>157</xdr:row>
      <xdr:rowOff>99060</xdr:rowOff>
    </xdr:to>
    <xdr:pic>
      <xdr:nvPicPr>
        <xdr:cNvPr id="74948" name="Рисунок 110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56"/>
        <a:stretch>
          <a:fillRect/>
        </a:stretch>
      </xdr:blipFill>
      <xdr:spPr bwMode="auto">
        <a:xfrm>
          <a:off x="1013460" y="46763940"/>
          <a:ext cx="83820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155</xdr:row>
      <xdr:rowOff>22860</xdr:rowOff>
    </xdr:from>
    <xdr:to>
      <xdr:col>3</xdr:col>
      <xdr:colOff>30480</xdr:colOff>
      <xdr:row>158</xdr:row>
      <xdr:rowOff>137160</xdr:rowOff>
    </xdr:to>
    <xdr:pic>
      <xdr:nvPicPr>
        <xdr:cNvPr id="74949" name="Рисунок 111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-56"/>
        <a:stretch>
          <a:fillRect/>
        </a:stretch>
      </xdr:blipFill>
      <xdr:spPr bwMode="auto">
        <a:xfrm>
          <a:off x="1028700" y="47304960"/>
          <a:ext cx="8305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152</xdr:row>
      <xdr:rowOff>7620</xdr:rowOff>
    </xdr:from>
    <xdr:to>
      <xdr:col>3</xdr:col>
      <xdr:colOff>76200</xdr:colOff>
      <xdr:row>155</xdr:row>
      <xdr:rowOff>91440</xdr:rowOff>
    </xdr:to>
    <xdr:pic>
      <xdr:nvPicPr>
        <xdr:cNvPr id="74950" name="Рисунок 11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7"/>
        <a:stretch>
          <a:fillRect/>
        </a:stretch>
      </xdr:blipFill>
      <xdr:spPr bwMode="auto">
        <a:xfrm>
          <a:off x="1051560" y="46009560"/>
          <a:ext cx="85344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151</xdr:row>
      <xdr:rowOff>15240</xdr:rowOff>
    </xdr:from>
    <xdr:to>
      <xdr:col>3</xdr:col>
      <xdr:colOff>0</xdr:colOff>
      <xdr:row>154</xdr:row>
      <xdr:rowOff>114300</xdr:rowOff>
    </xdr:to>
    <xdr:pic>
      <xdr:nvPicPr>
        <xdr:cNvPr id="74951" name="Рисунок 113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" b="-21"/>
        <a:stretch>
          <a:fillRect/>
        </a:stretch>
      </xdr:blipFill>
      <xdr:spPr bwMode="auto">
        <a:xfrm>
          <a:off x="1013460" y="45788580"/>
          <a:ext cx="8153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149</xdr:row>
      <xdr:rowOff>15240</xdr:rowOff>
    </xdr:from>
    <xdr:to>
      <xdr:col>2</xdr:col>
      <xdr:colOff>601980</xdr:colOff>
      <xdr:row>152</xdr:row>
      <xdr:rowOff>144780</xdr:rowOff>
    </xdr:to>
    <xdr:pic>
      <xdr:nvPicPr>
        <xdr:cNvPr id="74952" name="Рисунок 114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43"/>
        <a:stretch>
          <a:fillRect/>
        </a:stretch>
      </xdr:blipFill>
      <xdr:spPr bwMode="auto">
        <a:xfrm>
          <a:off x="998220" y="45331380"/>
          <a:ext cx="8229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146</xdr:row>
      <xdr:rowOff>30480</xdr:rowOff>
    </xdr:from>
    <xdr:to>
      <xdr:col>3</xdr:col>
      <xdr:colOff>45720</xdr:colOff>
      <xdr:row>149</xdr:row>
      <xdr:rowOff>15240</xdr:rowOff>
    </xdr:to>
    <xdr:pic>
      <xdr:nvPicPr>
        <xdr:cNvPr id="74953" name="Рисунок 115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23"/>
        <a:stretch>
          <a:fillRect/>
        </a:stretch>
      </xdr:blipFill>
      <xdr:spPr bwMode="auto">
        <a:xfrm>
          <a:off x="982980" y="44683680"/>
          <a:ext cx="8915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159</xdr:row>
      <xdr:rowOff>15240</xdr:rowOff>
    </xdr:from>
    <xdr:to>
      <xdr:col>2</xdr:col>
      <xdr:colOff>487680</xdr:colOff>
      <xdr:row>162</xdr:row>
      <xdr:rowOff>129540</xdr:rowOff>
    </xdr:to>
    <xdr:pic>
      <xdr:nvPicPr>
        <xdr:cNvPr id="74954" name="Рисунок 116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15"/>
        <a:stretch>
          <a:fillRect/>
        </a:stretch>
      </xdr:blipFill>
      <xdr:spPr bwMode="auto">
        <a:xfrm>
          <a:off x="1150620" y="48775620"/>
          <a:ext cx="5562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163</xdr:row>
      <xdr:rowOff>15240</xdr:rowOff>
    </xdr:from>
    <xdr:to>
      <xdr:col>2</xdr:col>
      <xdr:colOff>594360</xdr:colOff>
      <xdr:row>166</xdr:row>
      <xdr:rowOff>144780</xdr:rowOff>
    </xdr:to>
    <xdr:pic>
      <xdr:nvPicPr>
        <xdr:cNvPr id="74955" name="Рисунок 117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50"/>
        <a:stretch>
          <a:fillRect/>
        </a:stretch>
      </xdr:blipFill>
      <xdr:spPr bwMode="auto">
        <a:xfrm>
          <a:off x="975360" y="49994820"/>
          <a:ext cx="83820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162</xdr:row>
      <xdr:rowOff>15240</xdr:rowOff>
    </xdr:from>
    <xdr:to>
      <xdr:col>2</xdr:col>
      <xdr:colOff>419100</xdr:colOff>
      <xdr:row>165</xdr:row>
      <xdr:rowOff>129540</xdr:rowOff>
    </xdr:to>
    <xdr:pic>
      <xdr:nvPicPr>
        <xdr:cNvPr id="74956" name="Рисунок 118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04900" y="49621440"/>
          <a:ext cx="53340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161</xdr:row>
      <xdr:rowOff>15240</xdr:rowOff>
    </xdr:from>
    <xdr:to>
      <xdr:col>2</xdr:col>
      <xdr:colOff>487680</xdr:colOff>
      <xdr:row>164</xdr:row>
      <xdr:rowOff>114300</xdr:rowOff>
    </xdr:to>
    <xdr:pic>
      <xdr:nvPicPr>
        <xdr:cNvPr id="74957" name="Рисунок 119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27"/>
        <a:stretch>
          <a:fillRect/>
        </a:stretch>
      </xdr:blipFill>
      <xdr:spPr bwMode="auto">
        <a:xfrm>
          <a:off x="1165860" y="49248060"/>
          <a:ext cx="5410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164</xdr:row>
      <xdr:rowOff>15240</xdr:rowOff>
    </xdr:from>
    <xdr:to>
      <xdr:col>2</xdr:col>
      <xdr:colOff>563880</xdr:colOff>
      <xdr:row>167</xdr:row>
      <xdr:rowOff>129540</xdr:rowOff>
    </xdr:to>
    <xdr:pic>
      <xdr:nvPicPr>
        <xdr:cNvPr id="74958" name="Рисунок 120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6"/>
        <a:stretch>
          <a:fillRect/>
        </a:stretch>
      </xdr:blipFill>
      <xdr:spPr bwMode="auto">
        <a:xfrm>
          <a:off x="1021080" y="50368200"/>
          <a:ext cx="7620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160</xdr:row>
      <xdr:rowOff>15240</xdr:rowOff>
    </xdr:from>
    <xdr:to>
      <xdr:col>2</xdr:col>
      <xdr:colOff>495300</xdr:colOff>
      <xdr:row>163</xdr:row>
      <xdr:rowOff>83820</xdr:rowOff>
    </xdr:to>
    <xdr:pic>
      <xdr:nvPicPr>
        <xdr:cNvPr id="74959" name="Рисунок 121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81100" y="49011840"/>
          <a:ext cx="533400" cy="1051560"/>
        </a:xfrm>
        <a:prstGeom prst="rect">
          <a:avLst/>
        </a:prstGeom>
        <a:blipFill dpi="0" rotWithShape="1">
          <a:blip xmlns:r="http://schemas.openxmlformats.org/officeDocument/2006/relationships" r:embed="rId117"/>
          <a:srcRect r="9" b="-8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3</xdr:row>
      <xdr:rowOff>38100</xdr:rowOff>
    </xdr:from>
    <xdr:to>
      <xdr:col>9</xdr:col>
      <xdr:colOff>266700</xdr:colOff>
      <xdr:row>9</xdr:row>
      <xdr:rowOff>53340</xdr:rowOff>
    </xdr:to>
    <xdr:pic>
      <xdr:nvPicPr>
        <xdr:cNvPr id="74960" name="Рисунок 122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586740"/>
          <a:ext cx="49225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235"/>
  <sheetViews>
    <sheetView tabSelected="1" topLeftCell="A26" zoomScale="70" zoomScaleNormal="70" workbookViewId="0">
      <selection activeCell="C232" sqref="C232:C233"/>
    </sheetView>
  </sheetViews>
  <sheetFormatPr defaultColWidth="9.140625" defaultRowHeight="25.5"/>
  <cols>
    <col min="1" max="1" width="4.85546875" style="66" customWidth="1"/>
    <col min="2" max="2" width="23.28515625" style="5" customWidth="1"/>
    <col min="3" max="3" width="28.28515625" style="5" customWidth="1"/>
    <col min="4" max="4" width="10.85546875" style="67" customWidth="1"/>
    <col min="5" max="5" width="23.140625" style="484" customWidth="1"/>
    <col min="6" max="6" width="10.7109375" style="484" customWidth="1"/>
    <col min="7" max="7" width="15.28515625" style="484" bestFit="1" customWidth="1"/>
    <col min="8" max="8" width="13.140625" style="484" customWidth="1"/>
    <col min="9" max="9" width="14.28515625" style="484" customWidth="1"/>
    <col min="10" max="10" width="32.140625" style="484" customWidth="1"/>
    <col min="11" max="11" width="5.85546875" style="5" hidden="1" customWidth="1"/>
    <col min="12" max="12" width="12.28515625" style="5" hidden="1" customWidth="1"/>
    <col min="13" max="13" width="12.42578125" style="5" hidden="1" customWidth="1"/>
    <col min="14" max="14" width="12.140625" style="5" hidden="1" customWidth="1"/>
    <col min="15" max="15" width="11.85546875" style="5" hidden="1" customWidth="1"/>
    <col min="16" max="16" width="6.7109375" style="5" hidden="1" customWidth="1"/>
    <col min="17" max="17" width="7.7109375" style="5" hidden="1" customWidth="1"/>
    <col min="18" max="18" width="7.7109375" style="68" hidden="1" customWidth="1"/>
    <col min="19" max="19" width="13.28515625" style="5" customWidth="1"/>
    <col min="20" max="20" width="10.140625" style="5" customWidth="1"/>
    <col min="21" max="26" width="9.140625" style="5" customWidth="1"/>
    <col min="27" max="16384" width="9.140625" style="5"/>
  </cols>
  <sheetData>
    <row r="1" spans="1:27" s="75" customFormat="1">
      <c r="A1" s="66"/>
      <c r="D1" s="67"/>
      <c r="E1" s="484"/>
      <c r="F1" s="484"/>
      <c r="G1" s="484"/>
      <c r="H1" s="484"/>
      <c r="I1" s="484"/>
      <c r="J1" s="484"/>
      <c r="K1" s="470"/>
      <c r="L1" s="440"/>
      <c r="R1" s="68"/>
      <c r="W1" s="744"/>
      <c r="X1" s="744"/>
      <c r="Y1" s="744"/>
      <c r="Z1" s="744"/>
    </row>
    <row r="2" spans="1:27" s="75" customFormat="1">
      <c r="A2" s="66"/>
      <c r="D2" s="67"/>
      <c r="E2" s="484"/>
      <c r="F2" s="484"/>
      <c r="G2" s="484"/>
      <c r="H2" s="484"/>
      <c r="I2" s="484"/>
      <c r="J2" s="484"/>
      <c r="K2" s="471"/>
      <c r="L2" s="440"/>
      <c r="R2" s="68"/>
      <c r="W2" s="745"/>
      <c r="X2" s="745"/>
      <c r="Y2" s="745"/>
      <c r="Z2" s="745"/>
      <c r="AA2" s="437"/>
    </row>
    <row r="3" spans="1:27" s="75" customFormat="1">
      <c r="A3" s="66"/>
      <c r="D3" s="67"/>
      <c r="E3" s="484"/>
      <c r="F3" s="484"/>
      <c r="G3" s="484"/>
      <c r="H3" s="484"/>
      <c r="I3" s="484"/>
      <c r="J3" s="484"/>
      <c r="K3" s="471"/>
      <c r="L3" s="440"/>
      <c r="R3" s="68"/>
      <c r="W3" s="745"/>
      <c r="X3" s="745"/>
      <c r="Y3" s="745"/>
      <c r="Z3" s="745"/>
      <c r="AA3" s="438"/>
    </row>
    <row r="4" spans="1:27" s="75" customFormat="1">
      <c r="A4" s="66"/>
      <c r="D4" s="67"/>
      <c r="E4" s="484"/>
      <c r="F4" s="484"/>
      <c r="G4" s="484"/>
      <c r="H4" s="484"/>
      <c r="I4" s="484"/>
      <c r="J4" s="484"/>
      <c r="K4" s="471"/>
      <c r="L4" s="440"/>
      <c r="R4" s="68"/>
      <c r="W4" s="745"/>
      <c r="X4" s="745"/>
      <c r="Y4" s="745"/>
      <c r="Z4" s="745"/>
      <c r="AA4" s="438"/>
    </row>
    <row r="5" spans="1:27" s="75" customFormat="1" ht="28.5" customHeight="1">
      <c r="A5" s="746"/>
      <c r="B5" s="746"/>
      <c r="C5" s="746"/>
      <c r="D5" s="746"/>
      <c r="E5" s="746"/>
      <c r="F5" s="746"/>
      <c r="G5" s="746"/>
      <c r="H5" s="746"/>
      <c r="I5" s="746"/>
      <c r="J5" s="746"/>
      <c r="R5" s="68"/>
      <c r="X5" s="438"/>
      <c r="Y5" s="438"/>
      <c r="Z5" s="438"/>
      <c r="AA5" s="438"/>
    </row>
    <row r="6" spans="1:27" ht="38.25" customHeight="1">
      <c r="A6" s="871" t="s">
        <v>162</v>
      </c>
      <c r="B6" s="871"/>
      <c r="C6" s="871"/>
      <c r="D6" s="871"/>
      <c r="E6" s="871"/>
      <c r="F6" s="871"/>
      <c r="G6" s="871"/>
      <c r="H6" s="871"/>
      <c r="I6" s="871"/>
      <c r="J6" s="871"/>
    </row>
    <row r="7" spans="1:27" ht="153" customHeight="1" thickBot="1">
      <c r="A7" s="872" t="s">
        <v>0</v>
      </c>
      <c r="B7" s="1001" t="s">
        <v>5</v>
      </c>
      <c r="C7" s="1002"/>
      <c r="D7" s="1003"/>
      <c r="E7" s="873" t="s">
        <v>7</v>
      </c>
      <c r="F7" s="873" t="s">
        <v>16</v>
      </c>
      <c r="G7" s="873" t="s">
        <v>163</v>
      </c>
      <c r="H7" s="874" t="s">
        <v>8</v>
      </c>
      <c r="I7" s="873" t="s">
        <v>25</v>
      </c>
      <c r="J7" s="875" t="s">
        <v>164</v>
      </c>
      <c r="K7" s="876">
        <v>1.05</v>
      </c>
      <c r="L7" s="877" t="s">
        <v>119</v>
      </c>
      <c r="M7" s="878" t="s">
        <v>120</v>
      </c>
      <c r="N7" s="6" t="s">
        <v>114</v>
      </c>
      <c r="O7" s="6" t="s">
        <v>115</v>
      </c>
      <c r="P7" s="6" t="s">
        <v>116</v>
      </c>
    </row>
    <row r="8" spans="1:27" s="75" customFormat="1" ht="16.5" thickBot="1">
      <c r="A8" s="879" t="s">
        <v>139</v>
      </c>
      <c r="B8" s="631"/>
      <c r="C8" s="631"/>
      <c r="D8" s="631"/>
      <c r="E8" s="631"/>
      <c r="F8" s="631"/>
      <c r="G8" s="631"/>
      <c r="H8" s="631"/>
      <c r="I8" s="631"/>
      <c r="J8" s="631"/>
      <c r="K8" s="374"/>
      <c r="L8" s="375">
        <v>0</v>
      </c>
      <c r="M8" s="880"/>
      <c r="N8" s="89" t="e">
        <v>#DIV/0!</v>
      </c>
      <c r="O8" s="90" t="e">
        <v>#DIV/0!</v>
      </c>
      <c r="P8" s="88" t="e">
        <v>#DIV/0!</v>
      </c>
      <c r="R8" s="140"/>
    </row>
    <row r="9" spans="1:27" s="7" customFormat="1" ht="15.75" customHeight="1" thickBot="1">
      <c r="A9" s="996" t="s">
        <v>3</v>
      </c>
      <c r="B9" s="997"/>
      <c r="C9" s="997"/>
      <c r="D9" s="997"/>
      <c r="E9" s="997"/>
      <c r="F9" s="997"/>
      <c r="G9" s="997"/>
      <c r="H9" s="997"/>
      <c r="I9" s="997"/>
      <c r="J9" s="998"/>
      <c r="K9" s="882"/>
      <c r="L9" s="882"/>
      <c r="M9" s="883"/>
      <c r="R9" s="69"/>
    </row>
    <row r="10" spans="1:27" ht="60" customHeight="1" thickBot="1">
      <c r="A10" s="884">
        <v>1</v>
      </c>
      <c r="B10" s="400"/>
      <c r="C10" s="1004" t="s">
        <v>83</v>
      </c>
      <c r="D10" s="83" t="s">
        <v>78</v>
      </c>
      <c r="E10" s="488" t="s">
        <v>11</v>
      </c>
      <c r="F10" s="489">
        <v>70</v>
      </c>
      <c r="G10" s="490">
        <v>9.42</v>
      </c>
      <c r="H10" s="491">
        <v>1499</v>
      </c>
      <c r="I10" s="519">
        <v>13</v>
      </c>
      <c r="J10" s="967">
        <v>2049</v>
      </c>
      <c r="K10" s="374"/>
      <c r="L10" s="375">
        <v>873.73</v>
      </c>
      <c r="M10" s="885">
        <v>1001</v>
      </c>
      <c r="N10" s="10">
        <v>0.2</v>
      </c>
      <c r="O10" s="11">
        <v>0.1</v>
      </c>
      <c r="P10" s="9">
        <v>3.9960039960039939E-2</v>
      </c>
      <c r="R10" s="70">
        <f>1048*1.1</f>
        <v>1152.8000000000002</v>
      </c>
    </row>
    <row r="11" spans="1:27" ht="15" customHeight="1" thickBot="1">
      <c r="A11" s="999" t="s">
        <v>23</v>
      </c>
      <c r="B11" s="1000"/>
      <c r="C11" s="1000"/>
      <c r="D11" s="1000"/>
      <c r="E11" s="1000"/>
      <c r="F11" s="1000"/>
      <c r="G11" s="1000"/>
      <c r="H11" s="1000"/>
      <c r="I11" s="1000"/>
      <c r="J11" s="1000"/>
      <c r="K11" s="374"/>
      <c r="L11" s="375">
        <v>0</v>
      </c>
      <c r="M11" s="886"/>
      <c r="R11" s="70"/>
    </row>
    <row r="12" spans="1:27" ht="60.75" customHeight="1" thickBot="1">
      <c r="A12" s="887">
        <v>2</v>
      </c>
      <c r="B12" s="398"/>
      <c r="C12" s="1005" t="s">
        <v>6</v>
      </c>
      <c r="D12" s="101"/>
      <c r="E12" s="768" t="s">
        <v>24</v>
      </c>
      <c r="F12" s="494">
        <v>60</v>
      </c>
      <c r="G12" s="561">
        <v>13.39</v>
      </c>
      <c r="H12" s="562">
        <v>1734</v>
      </c>
      <c r="I12" s="563">
        <v>11</v>
      </c>
      <c r="J12" s="967">
        <v>1544</v>
      </c>
      <c r="K12" s="374"/>
      <c r="L12" s="375">
        <v>591.53</v>
      </c>
      <c r="M12" s="888">
        <v>665</v>
      </c>
      <c r="N12" s="10">
        <v>0.1</v>
      </c>
      <c r="O12" s="11">
        <v>0.05</v>
      </c>
      <c r="P12" s="9">
        <v>0.02</v>
      </c>
      <c r="R12" s="70">
        <f>710*1.1</f>
        <v>781.00000000000011</v>
      </c>
    </row>
    <row r="13" spans="1:27" ht="58.5" customHeight="1" thickBot="1">
      <c r="A13" s="889"/>
      <c r="B13" s="399"/>
      <c r="C13" s="1006" t="s">
        <v>85</v>
      </c>
      <c r="D13" s="106" t="s">
        <v>78</v>
      </c>
      <c r="E13" s="769"/>
      <c r="F13" s="496">
        <v>60</v>
      </c>
      <c r="G13" s="571">
        <v>13.39</v>
      </c>
      <c r="H13" s="572">
        <v>1734</v>
      </c>
      <c r="I13" s="573">
        <v>11</v>
      </c>
      <c r="J13" s="967">
        <v>1837</v>
      </c>
      <c r="K13" s="374"/>
      <c r="L13" s="375">
        <v>782.2</v>
      </c>
      <c r="M13" s="888">
        <v>896</v>
      </c>
      <c r="N13" s="10">
        <v>0.3</v>
      </c>
      <c r="O13" s="11">
        <v>0.1</v>
      </c>
      <c r="P13" s="9">
        <v>0.04</v>
      </c>
      <c r="R13" s="70">
        <f>939*1.1</f>
        <v>1032.9000000000001</v>
      </c>
      <c r="T13" s="13"/>
    </row>
    <row r="14" spans="1:27" ht="15" customHeight="1" thickBot="1">
      <c r="A14" s="881" t="s">
        <v>80</v>
      </c>
      <c r="B14" s="608"/>
      <c r="C14" s="608"/>
      <c r="D14" s="608"/>
      <c r="E14" s="608"/>
      <c r="F14" s="608"/>
      <c r="G14" s="608"/>
      <c r="H14" s="608"/>
      <c r="I14" s="608"/>
      <c r="J14" s="680"/>
      <c r="K14" s="374"/>
      <c r="L14" s="375">
        <v>0</v>
      </c>
      <c r="M14" s="886"/>
      <c r="N14" s="5" t="e">
        <v>#DIV/0!</v>
      </c>
      <c r="O14" s="5" t="e">
        <v>#DIV/0!</v>
      </c>
      <c r="P14" s="5" t="e">
        <v>#DIV/0!</v>
      </c>
      <c r="R14" s="70"/>
    </row>
    <row r="15" spans="1:27" ht="57" customHeight="1" thickBot="1">
      <c r="A15" s="890">
        <v>3</v>
      </c>
      <c r="B15" s="455"/>
      <c r="C15" s="1007" t="s">
        <v>166</v>
      </c>
      <c r="D15" s="96" t="s">
        <v>78</v>
      </c>
      <c r="E15" s="759" t="s">
        <v>65</v>
      </c>
      <c r="F15" s="647">
        <v>60</v>
      </c>
      <c r="G15" s="771">
        <v>13.44</v>
      </c>
      <c r="H15" s="763">
        <v>1880</v>
      </c>
      <c r="I15" s="770">
        <v>10</v>
      </c>
      <c r="J15" s="495">
        <v>1177</v>
      </c>
      <c r="K15" s="374"/>
      <c r="L15" s="375">
        <v>450.85</v>
      </c>
      <c r="M15" s="891">
        <v>507</v>
      </c>
      <c r="N15" s="10">
        <v>0.1</v>
      </c>
      <c r="O15" s="11">
        <v>0.03</v>
      </c>
      <c r="P15" s="9">
        <v>0.02</v>
      </c>
      <c r="R15" s="70">
        <f>541*1.1</f>
        <v>595.1</v>
      </c>
    </row>
    <row r="16" spans="1:27" ht="57" customHeight="1">
      <c r="A16" s="892"/>
      <c r="B16" s="401"/>
      <c r="C16" s="1008" t="s">
        <v>167</v>
      </c>
      <c r="D16" s="97" t="s">
        <v>78</v>
      </c>
      <c r="E16" s="738"/>
      <c r="F16" s="649"/>
      <c r="G16" s="765"/>
      <c r="H16" s="761"/>
      <c r="I16" s="753"/>
      <c r="J16" s="741">
        <v>1378</v>
      </c>
      <c r="K16" s="374"/>
      <c r="L16" s="758">
        <v>521.19000000000005</v>
      </c>
      <c r="M16" s="893">
        <v>586</v>
      </c>
      <c r="N16" s="10">
        <v>0.15</v>
      </c>
      <c r="O16" s="11">
        <v>0.05</v>
      </c>
      <c r="P16" s="9">
        <v>0.03</v>
      </c>
      <c r="R16" s="70">
        <f>626*1.1</f>
        <v>688.6</v>
      </c>
    </row>
    <row r="17" spans="1:18" ht="57" customHeight="1">
      <c r="A17" s="892"/>
      <c r="B17" s="403"/>
      <c r="C17" s="1009" t="s">
        <v>168</v>
      </c>
      <c r="D17" s="97" t="s">
        <v>78</v>
      </c>
      <c r="E17" s="738"/>
      <c r="F17" s="649"/>
      <c r="G17" s="765"/>
      <c r="H17" s="761"/>
      <c r="I17" s="753"/>
      <c r="J17" s="742"/>
      <c r="K17" s="374"/>
      <c r="L17" s="758"/>
      <c r="M17" s="894"/>
      <c r="N17" s="10" t="e">
        <v>#DIV/0!</v>
      </c>
      <c r="O17" s="11" t="e">
        <v>#DIV/0!</v>
      </c>
      <c r="P17" s="9" t="e">
        <v>#DIV/0!</v>
      </c>
      <c r="R17" s="70"/>
    </row>
    <row r="18" spans="1:18" ht="57" customHeight="1">
      <c r="A18" s="892"/>
      <c r="B18" s="392"/>
      <c r="C18" s="1009" t="s">
        <v>169</v>
      </c>
      <c r="D18" s="97" t="s">
        <v>78</v>
      </c>
      <c r="E18" s="738"/>
      <c r="F18" s="649"/>
      <c r="G18" s="765"/>
      <c r="H18" s="761"/>
      <c r="I18" s="753"/>
      <c r="J18" s="742"/>
      <c r="K18" s="374"/>
      <c r="L18" s="758"/>
      <c r="M18" s="894"/>
      <c r="N18" s="10" t="e">
        <v>#DIV/0!</v>
      </c>
      <c r="O18" s="11" t="e">
        <v>#DIV/0!</v>
      </c>
      <c r="P18" s="9" t="e">
        <v>#DIV/0!</v>
      </c>
      <c r="R18" s="70"/>
    </row>
    <row r="19" spans="1:18" ht="57" customHeight="1">
      <c r="A19" s="892"/>
      <c r="B19" s="394"/>
      <c r="C19" s="1010" t="s">
        <v>49</v>
      </c>
      <c r="D19" s="97"/>
      <c r="E19" s="738"/>
      <c r="F19" s="649"/>
      <c r="G19" s="765"/>
      <c r="H19" s="761"/>
      <c r="I19" s="753"/>
      <c r="J19" s="742"/>
      <c r="K19" s="374"/>
      <c r="L19" s="758"/>
      <c r="M19" s="894"/>
      <c r="N19" s="10" t="e">
        <v>#DIV/0!</v>
      </c>
      <c r="O19" s="11" t="e">
        <v>#DIV/0!</v>
      </c>
      <c r="P19" s="9" t="e">
        <v>#DIV/0!</v>
      </c>
      <c r="R19" s="70"/>
    </row>
    <row r="20" spans="1:18" ht="57" customHeight="1">
      <c r="A20" s="892"/>
      <c r="B20" s="395"/>
      <c r="C20" s="1009" t="s">
        <v>170</v>
      </c>
      <c r="D20" s="97" t="s">
        <v>78</v>
      </c>
      <c r="E20" s="738"/>
      <c r="F20" s="649"/>
      <c r="G20" s="765"/>
      <c r="H20" s="761"/>
      <c r="I20" s="753"/>
      <c r="J20" s="742"/>
      <c r="K20" s="374"/>
      <c r="L20" s="758"/>
      <c r="M20" s="894"/>
      <c r="N20" s="10" t="e">
        <v>#DIV/0!</v>
      </c>
      <c r="O20" s="11" t="e">
        <v>#DIV/0!</v>
      </c>
      <c r="P20" s="9" t="e">
        <v>#DIV/0!</v>
      </c>
      <c r="R20" s="70"/>
    </row>
    <row r="21" spans="1:18" ht="57" customHeight="1">
      <c r="A21" s="892"/>
      <c r="B21" s="396"/>
      <c r="C21" s="1009" t="s">
        <v>47</v>
      </c>
      <c r="D21" s="97"/>
      <c r="E21" s="737" t="s">
        <v>66</v>
      </c>
      <c r="F21" s="649"/>
      <c r="G21" s="764">
        <v>11.4</v>
      </c>
      <c r="H21" s="760">
        <v>1606</v>
      </c>
      <c r="I21" s="752">
        <v>12</v>
      </c>
      <c r="J21" s="742"/>
      <c r="K21" s="374"/>
      <c r="L21" s="758"/>
      <c r="M21" s="894"/>
      <c r="N21" s="10" t="e">
        <v>#DIV/0!</v>
      </c>
      <c r="O21" s="11" t="e">
        <v>#DIV/0!</v>
      </c>
      <c r="P21" s="9" t="e">
        <v>#DIV/0!</v>
      </c>
      <c r="R21" s="70"/>
    </row>
    <row r="22" spans="1:18" ht="57" customHeight="1">
      <c r="A22" s="892"/>
      <c r="B22" s="393"/>
      <c r="C22" s="1010" t="s">
        <v>52</v>
      </c>
      <c r="D22" s="97"/>
      <c r="E22" s="738"/>
      <c r="F22" s="649"/>
      <c r="G22" s="765"/>
      <c r="H22" s="761"/>
      <c r="I22" s="753"/>
      <c r="J22" s="742"/>
      <c r="K22" s="374"/>
      <c r="L22" s="758"/>
      <c r="M22" s="894"/>
      <c r="N22" s="10" t="e">
        <v>#DIV/0!</v>
      </c>
      <c r="O22" s="11" t="e">
        <v>#DIV/0!</v>
      </c>
      <c r="P22" s="9" t="e">
        <v>#DIV/0!</v>
      </c>
      <c r="R22" s="70"/>
    </row>
    <row r="23" spans="1:18" ht="57" customHeight="1" thickBot="1">
      <c r="A23" s="892"/>
      <c r="B23" s="397"/>
      <c r="C23" s="1009" t="s">
        <v>171</v>
      </c>
      <c r="D23" s="97" t="s">
        <v>78</v>
      </c>
      <c r="E23" s="738"/>
      <c r="F23" s="649"/>
      <c r="G23" s="765"/>
      <c r="H23" s="761"/>
      <c r="I23" s="753"/>
      <c r="J23" s="742"/>
      <c r="K23" s="374"/>
      <c r="L23" s="758"/>
      <c r="M23" s="895"/>
      <c r="N23" s="10" t="e">
        <v>#DIV/0!</v>
      </c>
      <c r="O23" s="11" t="e">
        <v>#DIV/0!</v>
      </c>
      <c r="P23" s="9" t="e">
        <v>#DIV/0!</v>
      </c>
      <c r="R23" s="70"/>
    </row>
    <row r="24" spans="1:18" ht="57" customHeight="1" thickBot="1">
      <c r="A24" s="892"/>
      <c r="B24" s="405"/>
      <c r="C24" s="1011" t="s">
        <v>48</v>
      </c>
      <c r="D24" s="154"/>
      <c r="E24" s="738"/>
      <c r="F24" s="649"/>
      <c r="G24" s="765"/>
      <c r="H24" s="761"/>
      <c r="I24" s="753"/>
      <c r="J24" s="743"/>
      <c r="K24" s="374"/>
      <c r="L24" s="375">
        <v>726.27</v>
      </c>
      <c r="M24" s="896">
        <v>816</v>
      </c>
      <c r="N24" s="10">
        <v>0.15</v>
      </c>
      <c r="O24" s="11">
        <v>0.05</v>
      </c>
      <c r="P24" s="9">
        <v>0.03</v>
      </c>
      <c r="R24" s="70">
        <f>872*1.1</f>
        <v>959.2</v>
      </c>
    </row>
    <row r="25" spans="1:18" ht="57" customHeight="1">
      <c r="A25" s="892"/>
      <c r="B25" s="404"/>
      <c r="C25" s="1012" t="s">
        <v>172</v>
      </c>
      <c r="D25" s="101" t="s">
        <v>78</v>
      </c>
      <c r="E25" s="738"/>
      <c r="F25" s="649"/>
      <c r="G25" s="765"/>
      <c r="H25" s="761"/>
      <c r="I25" s="753"/>
      <c r="J25" s="741">
        <v>1892</v>
      </c>
      <c r="K25" s="374"/>
      <c r="L25" s="758">
        <v>805.08</v>
      </c>
      <c r="M25" s="893">
        <v>922</v>
      </c>
      <c r="N25" s="10">
        <v>0.3</v>
      </c>
      <c r="O25" s="11">
        <v>0.1</v>
      </c>
      <c r="P25" s="9">
        <v>0.04</v>
      </c>
      <c r="R25" s="70">
        <f>967*1.1</f>
        <v>1063.7</v>
      </c>
    </row>
    <row r="26" spans="1:18" ht="57" customHeight="1">
      <c r="A26" s="892"/>
      <c r="B26" s="402"/>
      <c r="C26" s="1009" t="s">
        <v>173</v>
      </c>
      <c r="D26" s="99" t="s">
        <v>78</v>
      </c>
      <c r="E26" s="738"/>
      <c r="F26" s="649"/>
      <c r="G26" s="765"/>
      <c r="H26" s="761"/>
      <c r="I26" s="753"/>
      <c r="J26" s="742"/>
      <c r="K26" s="374"/>
      <c r="L26" s="758"/>
      <c r="M26" s="894"/>
      <c r="N26" s="10" t="e">
        <v>#DIV/0!</v>
      </c>
      <c r="O26" s="11" t="e">
        <v>#DIV/0!</v>
      </c>
      <c r="P26" s="9" t="e">
        <v>#DIV/0!</v>
      </c>
      <c r="R26" s="70"/>
    </row>
    <row r="27" spans="1:18" ht="57" customHeight="1" thickBot="1">
      <c r="A27" s="897"/>
      <c r="B27" s="406"/>
      <c r="C27" s="1013" t="s">
        <v>87</v>
      </c>
      <c r="D27" s="106"/>
      <c r="E27" s="739"/>
      <c r="F27" s="650"/>
      <c r="G27" s="766"/>
      <c r="H27" s="762"/>
      <c r="I27" s="754"/>
      <c r="J27" s="743"/>
      <c r="K27" s="374"/>
      <c r="L27" s="758"/>
      <c r="M27" s="895"/>
      <c r="N27" s="10" t="e">
        <v>#DIV/0!</v>
      </c>
      <c r="O27" s="11" t="e">
        <v>#DIV/0!</v>
      </c>
      <c r="P27" s="9" t="e">
        <v>#DIV/0!</v>
      </c>
      <c r="R27" s="70"/>
    </row>
    <row r="28" spans="1:18" s="75" customFormat="1" ht="25.15" customHeight="1" thickBot="1">
      <c r="A28" s="898" t="s">
        <v>157</v>
      </c>
      <c r="B28" s="693"/>
      <c r="C28" s="693"/>
      <c r="D28" s="693"/>
      <c r="E28" s="693"/>
      <c r="F28" s="693"/>
      <c r="G28" s="693"/>
      <c r="H28" s="693"/>
      <c r="I28" s="693"/>
      <c r="J28" s="702"/>
      <c r="K28" s="374"/>
      <c r="L28" s="375"/>
      <c r="M28" s="899"/>
      <c r="N28" s="89"/>
      <c r="O28" s="90"/>
      <c r="P28" s="88"/>
      <c r="R28" s="140"/>
    </row>
    <row r="29" spans="1:18" s="75" customFormat="1" ht="57" customHeight="1" thickBot="1">
      <c r="A29" s="900">
        <v>5</v>
      </c>
      <c r="B29" s="456"/>
      <c r="C29" s="1007" t="s">
        <v>50</v>
      </c>
      <c r="D29" s="101" t="s">
        <v>78</v>
      </c>
      <c r="E29" s="690" t="s">
        <v>158</v>
      </c>
      <c r="F29" s="623">
        <v>40</v>
      </c>
      <c r="G29" s="755">
        <v>19</v>
      </c>
      <c r="H29" s="642">
        <v>1704</v>
      </c>
      <c r="I29" s="968">
        <v>11</v>
      </c>
      <c r="J29" s="971">
        <v>1139</v>
      </c>
      <c r="K29" s="374"/>
      <c r="L29" s="375"/>
      <c r="M29" s="899"/>
      <c r="N29" s="89"/>
      <c r="O29" s="90"/>
      <c r="P29" s="88"/>
      <c r="R29" s="140"/>
    </row>
    <row r="30" spans="1:18" s="75" customFormat="1" ht="57" customHeight="1" thickBot="1">
      <c r="A30" s="901"/>
      <c r="B30" s="457"/>
      <c r="C30" s="1014" t="s">
        <v>38</v>
      </c>
      <c r="D30" s="99" t="s">
        <v>78</v>
      </c>
      <c r="E30" s="691"/>
      <c r="F30" s="624"/>
      <c r="G30" s="756"/>
      <c r="H30" s="643"/>
      <c r="I30" s="969"/>
      <c r="J30" s="972">
        <v>1139</v>
      </c>
      <c r="K30" s="374"/>
      <c r="L30" s="375"/>
      <c r="M30" s="899"/>
      <c r="N30" s="89"/>
      <c r="O30" s="90"/>
      <c r="P30" s="88"/>
      <c r="R30" s="140"/>
    </row>
    <row r="31" spans="1:18" s="75" customFormat="1" ht="57" customHeight="1" thickBot="1">
      <c r="A31" s="901"/>
      <c r="B31" s="457"/>
      <c r="C31" s="1014" t="s">
        <v>44</v>
      </c>
      <c r="D31" s="99" t="s">
        <v>78</v>
      </c>
      <c r="E31" s="691"/>
      <c r="F31" s="624"/>
      <c r="G31" s="756"/>
      <c r="H31" s="643"/>
      <c r="I31" s="969"/>
      <c r="J31" s="972">
        <v>1139</v>
      </c>
      <c r="K31" s="374"/>
      <c r="L31" s="375"/>
      <c r="M31" s="899"/>
      <c r="N31" s="89"/>
      <c r="O31" s="90"/>
      <c r="P31" s="88"/>
      <c r="R31" s="140"/>
    </row>
    <row r="32" spans="1:18" s="75" customFormat="1" ht="57" customHeight="1" thickBot="1">
      <c r="A32" s="902"/>
      <c r="B32" s="457"/>
      <c r="C32" s="1015" t="s">
        <v>86</v>
      </c>
      <c r="D32" s="106" t="s">
        <v>78</v>
      </c>
      <c r="E32" s="692"/>
      <c r="F32" s="625"/>
      <c r="G32" s="757"/>
      <c r="H32" s="644"/>
      <c r="I32" s="970"/>
      <c r="J32" s="973">
        <v>1498</v>
      </c>
      <c r="K32" s="374"/>
      <c r="L32" s="375"/>
      <c r="M32" s="899"/>
      <c r="N32" s="89"/>
      <c r="O32" s="90"/>
      <c r="P32" s="88"/>
      <c r="R32" s="140"/>
    </row>
    <row r="33" spans="1:18" ht="15" customHeight="1" thickBot="1">
      <c r="A33" s="881" t="s">
        <v>61</v>
      </c>
      <c r="B33" s="608"/>
      <c r="C33" s="608"/>
      <c r="D33" s="608"/>
      <c r="E33" s="608"/>
      <c r="F33" s="608"/>
      <c r="G33" s="608"/>
      <c r="H33" s="608"/>
      <c r="I33" s="608"/>
      <c r="J33" s="715"/>
      <c r="K33" s="374"/>
      <c r="L33" s="375">
        <v>0</v>
      </c>
      <c r="M33" s="903"/>
      <c r="N33" s="10" t="e">
        <v>#DIV/0!</v>
      </c>
      <c r="O33" s="11" t="e">
        <v>#DIV/0!</v>
      </c>
      <c r="P33" s="9" t="e">
        <v>#DIV/0!</v>
      </c>
      <c r="R33" s="70"/>
    </row>
    <row r="34" spans="1:18" s="75" customFormat="1" ht="56.25" customHeight="1" thickBot="1">
      <c r="A34" s="890">
        <v>5</v>
      </c>
      <c r="B34" s="407"/>
      <c r="C34" s="1016" t="s">
        <v>6</v>
      </c>
      <c r="D34" s="482"/>
      <c r="E34" s="690" t="s">
        <v>153</v>
      </c>
      <c r="F34" s="623">
        <v>60</v>
      </c>
      <c r="G34" s="490">
        <v>11.29</v>
      </c>
      <c r="H34" s="491">
        <v>1606</v>
      </c>
      <c r="I34" s="519">
        <v>12</v>
      </c>
      <c r="J34" s="974">
        <v>1366</v>
      </c>
      <c r="K34" s="374"/>
      <c r="L34" s="375"/>
      <c r="M34" s="904"/>
      <c r="N34" s="89"/>
      <c r="O34" s="90"/>
      <c r="P34" s="88"/>
      <c r="R34" s="140"/>
    </row>
    <row r="35" spans="1:18" ht="60" customHeight="1" thickBot="1">
      <c r="A35" s="892"/>
      <c r="B35" s="409"/>
      <c r="C35" s="1005" t="s">
        <v>68</v>
      </c>
      <c r="D35" s="101" t="s">
        <v>78</v>
      </c>
      <c r="E35" s="750"/>
      <c r="F35" s="624"/>
      <c r="G35" s="565">
        <v>11.29</v>
      </c>
      <c r="H35" s="566">
        <v>1606</v>
      </c>
      <c r="I35" s="567">
        <v>12</v>
      </c>
      <c r="J35" s="975">
        <v>2049</v>
      </c>
      <c r="K35" s="374"/>
      <c r="L35" s="375">
        <v>873.73</v>
      </c>
      <c r="M35" s="905">
        <v>1001</v>
      </c>
      <c r="N35" s="10">
        <v>0.3</v>
      </c>
      <c r="O35" s="11">
        <v>0.1</v>
      </c>
      <c r="P35" s="9">
        <v>3.9960039960039939E-2</v>
      </c>
      <c r="R35" s="70">
        <f>1048*1.1</f>
        <v>1152.8000000000002</v>
      </c>
    </row>
    <row r="36" spans="1:18" ht="60" customHeight="1" thickBot="1">
      <c r="A36" s="892"/>
      <c r="B36" s="267"/>
      <c r="C36" s="1017" t="s">
        <v>83</v>
      </c>
      <c r="D36" s="99" t="s">
        <v>78</v>
      </c>
      <c r="E36" s="750"/>
      <c r="F36" s="624"/>
      <c r="G36" s="568">
        <v>11.29</v>
      </c>
      <c r="H36" s="569">
        <v>1606</v>
      </c>
      <c r="I36" s="570">
        <v>12</v>
      </c>
      <c r="J36" s="975">
        <v>2049</v>
      </c>
      <c r="K36" s="374"/>
      <c r="L36" s="375">
        <v>873.73</v>
      </c>
      <c r="M36" s="905">
        <v>1001</v>
      </c>
      <c r="N36" s="10">
        <v>0.3</v>
      </c>
      <c r="O36" s="11">
        <v>0.1</v>
      </c>
      <c r="P36" s="9">
        <v>3.9960039960039939E-2</v>
      </c>
      <c r="R36" s="70"/>
    </row>
    <row r="37" spans="1:18" ht="60" customHeight="1" thickBot="1">
      <c r="A37" s="892"/>
      <c r="B37" s="480"/>
      <c r="C37" s="1017" t="s">
        <v>84</v>
      </c>
      <c r="D37" s="99"/>
      <c r="E37" s="750"/>
      <c r="F37" s="624"/>
      <c r="G37" s="568">
        <v>11.29</v>
      </c>
      <c r="H37" s="569">
        <v>1606</v>
      </c>
      <c r="I37" s="570">
        <v>12</v>
      </c>
      <c r="J37" s="975">
        <v>2049</v>
      </c>
      <c r="K37" s="374"/>
      <c r="L37" s="375">
        <v>873.73</v>
      </c>
      <c r="M37" s="905">
        <v>1001</v>
      </c>
      <c r="N37" s="10">
        <v>0.3</v>
      </c>
      <c r="O37" s="11">
        <v>0.1</v>
      </c>
      <c r="P37" s="9">
        <v>3.9960039960039939E-2</v>
      </c>
      <c r="R37" s="70"/>
    </row>
    <row r="38" spans="1:18" ht="60" customHeight="1" thickBot="1">
      <c r="A38" s="897"/>
      <c r="B38" s="408"/>
      <c r="C38" s="1006" t="s">
        <v>70</v>
      </c>
      <c r="D38" s="106" t="s">
        <v>78</v>
      </c>
      <c r="E38" s="751"/>
      <c r="F38" s="625"/>
      <c r="G38" s="571">
        <v>11.29</v>
      </c>
      <c r="H38" s="572">
        <v>1606</v>
      </c>
      <c r="I38" s="573">
        <v>12</v>
      </c>
      <c r="J38" s="975">
        <v>2049</v>
      </c>
      <c r="K38" s="374"/>
      <c r="L38" s="375">
        <v>873.73</v>
      </c>
      <c r="M38" s="905">
        <v>1001</v>
      </c>
      <c r="N38" s="10">
        <v>0.3</v>
      </c>
      <c r="O38" s="11">
        <v>0.1</v>
      </c>
      <c r="P38" s="9">
        <v>3.9960039960039939E-2</v>
      </c>
      <c r="R38" s="70"/>
    </row>
    <row r="39" spans="1:18" ht="15" customHeight="1" thickBot="1">
      <c r="A39" s="881" t="s">
        <v>62</v>
      </c>
      <c r="B39" s="608"/>
      <c r="C39" s="608"/>
      <c r="D39" s="680"/>
      <c r="E39" s="608"/>
      <c r="F39" s="608"/>
      <c r="G39" s="608"/>
      <c r="H39" s="608"/>
      <c r="I39" s="608"/>
      <c r="J39" s="715"/>
      <c r="K39" s="374"/>
      <c r="L39" s="375">
        <v>0</v>
      </c>
      <c r="M39" s="906"/>
      <c r="N39" s="10" t="e">
        <v>#DIV/0!</v>
      </c>
      <c r="O39" s="11" t="e">
        <v>#DIV/0!</v>
      </c>
      <c r="P39" s="9" t="e">
        <v>#DIV/0!</v>
      </c>
      <c r="R39" s="70"/>
    </row>
    <row r="40" spans="1:18" ht="57" customHeight="1" thickBot="1">
      <c r="A40" s="887">
        <v>6</v>
      </c>
      <c r="B40" s="412"/>
      <c r="C40" s="1018" t="s">
        <v>6</v>
      </c>
      <c r="D40" s="83"/>
      <c r="E40" s="690" t="s">
        <v>67</v>
      </c>
      <c r="F40" s="647">
        <v>60</v>
      </c>
      <c r="G40" s="499">
        <v>11.52</v>
      </c>
      <c r="H40" s="491">
        <v>1635</v>
      </c>
      <c r="I40" s="519">
        <v>12</v>
      </c>
      <c r="J40" s="974">
        <v>1366</v>
      </c>
      <c r="K40" s="374"/>
      <c r="L40" s="375">
        <v>501.69</v>
      </c>
      <c r="M40" s="907">
        <v>564</v>
      </c>
      <c r="N40" s="10">
        <v>0.15</v>
      </c>
      <c r="O40" s="11">
        <v>0.05</v>
      </c>
      <c r="P40" s="9">
        <v>0.02</v>
      </c>
      <c r="R40" s="70">
        <f>602*1.1</f>
        <v>662.2</v>
      </c>
    </row>
    <row r="41" spans="1:18" ht="57" customHeight="1">
      <c r="A41" s="908"/>
      <c r="B41" s="410"/>
      <c r="C41" s="1019" t="s">
        <v>69</v>
      </c>
      <c r="D41" s="193"/>
      <c r="E41" s="691"/>
      <c r="F41" s="649"/>
      <c r="G41" s="565">
        <v>11.52</v>
      </c>
      <c r="H41" s="566">
        <v>1635</v>
      </c>
      <c r="I41" s="567">
        <v>12</v>
      </c>
      <c r="J41" s="975">
        <v>2049</v>
      </c>
      <c r="K41" s="374"/>
      <c r="L41" s="375">
        <v>873.73</v>
      </c>
      <c r="M41" s="905">
        <v>1001</v>
      </c>
      <c r="N41" s="10">
        <v>0.3</v>
      </c>
      <c r="O41" s="11">
        <v>0.1</v>
      </c>
      <c r="P41" s="9">
        <v>3.9960039960039939E-2</v>
      </c>
      <c r="R41" s="70">
        <f>1048*1.1</f>
        <v>1152.8000000000002</v>
      </c>
    </row>
    <row r="42" spans="1:18" ht="57" customHeight="1" thickBot="1">
      <c r="A42" s="889"/>
      <c r="B42" s="411"/>
      <c r="C42" s="1015" t="s">
        <v>88</v>
      </c>
      <c r="D42" s="106" t="s">
        <v>78</v>
      </c>
      <c r="E42" s="692"/>
      <c r="F42" s="650"/>
      <c r="G42" s="571">
        <v>11.52</v>
      </c>
      <c r="H42" s="572">
        <v>1635</v>
      </c>
      <c r="I42" s="573">
        <v>12</v>
      </c>
      <c r="J42" s="967">
        <v>2049</v>
      </c>
      <c r="K42" s="374"/>
      <c r="L42" s="375">
        <v>873.73</v>
      </c>
      <c r="M42" s="905">
        <v>1001</v>
      </c>
      <c r="N42" s="10">
        <v>0.3</v>
      </c>
      <c r="O42" s="11">
        <v>0.1</v>
      </c>
      <c r="P42" s="9">
        <v>3.9960039960039939E-2</v>
      </c>
      <c r="R42" s="70"/>
    </row>
    <row r="43" spans="1:18" ht="15" customHeight="1" thickBot="1">
      <c r="A43" s="881" t="s">
        <v>63</v>
      </c>
      <c r="B43" s="608"/>
      <c r="C43" s="608"/>
      <c r="D43" s="608"/>
      <c r="E43" s="608"/>
      <c r="F43" s="608"/>
      <c r="G43" s="608"/>
      <c r="H43" s="608"/>
      <c r="I43" s="608"/>
      <c r="J43" s="715"/>
      <c r="K43" s="374"/>
      <c r="L43" s="375">
        <v>0</v>
      </c>
      <c r="M43" s="904"/>
      <c r="N43" s="10" t="e">
        <v>#DIV/0!</v>
      </c>
      <c r="O43" s="11" t="e">
        <v>#DIV/0!</v>
      </c>
      <c r="P43" s="9" t="e">
        <v>#DIV/0!</v>
      </c>
      <c r="R43" s="70"/>
    </row>
    <row r="44" spans="1:18" ht="57" customHeight="1" thickBot="1">
      <c r="A44" s="890">
        <v>7</v>
      </c>
      <c r="B44" s="413"/>
      <c r="C44" s="1020" t="s">
        <v>6</v>
      </c>
      <c r="D44" s="357"/>
      <c r="E44" s="699" t="s">
        <v>60</v>
      </c>
      <c r="F44" s="710">
        <v>60</v>
      </c>
      <c r="G44" s="500">
        <v>12.96</v>
      </c>
      <c r="H44" s="501">
        <v>1850</v>
      </c>
      <c r="I44" s="512">
        <v>11</v>
      </c>
      <c r="J44" s="976">
        <v>1366</v>
      </c>
      <c r="K44" s="374"/>
      <c r="L44" s="375">
        <v>501.69</v>
      </c>
      <c r="M44" s="909">
        <v>564</v>
      </c>
      <c r="N44" s="10">
        <v>0.15</v>
      </c>
      <c r="O44" s="11">
        <v>0.05</v>
      </c>
      <c r="P44" s="9">
        <v>0.02</v>
      </c>
      <c r="R44" s="70">
        <f>602*1.1</f>
        <v>662.2</v>
      </c>
    </row>
    <row r="45" spans="1:18" ht="57" customHeight="1" thickBot="1">
      <c r="A45" s="892"/>
      <c r="B45" s="207"/>
      <c r="C45" s="1020" t="s">
        <v>14</v>
      </c>
      <c r="D45" s="358"/>
      <c r="E45" s="700"/>
      <c r="F45" s="740"/>
      <c r="G45" s="500">
        <v>12.96</v>
      </c>
      <c r="H45" s="501">
        <v>1850</v>
      </c>
      <c r="I45" s="512">
        <v>11</v>
      </c>
      <c r="J45" s="977">
        <v>1456</v>
      </c>
      <c r="K45" s="374"/>
      <c r="L45" s="375"/>
      <c r="M45" s="910"/>
      <c r="N45" s="10"/>
      <c r="O45" s="11"/>
      <c r="P45" s="9"/>
      <c r="R45" s="70"/>
    </row>
    <row r="46" spans="1:18" ht="57" customHeight="1" thickBot="1">
      <c r="A46" s="892"/>
      <c r="B46" s="295"/>
      <c r="C46" s="1021" t="s">
        <v>89</v>
      </c>
      <c r="D46" s="194" t="s">
        <v>78</v>
      </c>
      <c r="E46" s="700"/>
      <c r="F46" s="740"/>
      <c r="G46" s="502">
        <v>12.96</v>
      </c>
      <c r="H46" s="503">
        <v>1850</v>
      </c>
      <c r="I46" s="504">
        <v>11</v>
      </c>
      <c r="J46" s="975">
        <v>2049</v>
      </c>
      <c r="K46" s="374"/>
      <c r="L46" s="375">
        <v>873.73</v>
      </c>
      <c r="M46" s="911">
        <v>1001</v>
      </c>
      <c r="N46" s="10">
        <v>0.3</v>
      </c>
      <c r="O46" s="11">
        <v>0.1</v>
      </c>
      <c r="P46" s="9">
        <v>3.9960039960039939E-2</v>
      </c>
      <c r="R46" s="70">
        <f>1048*1.1</f>
        <v>1152.8000000000002</v>
      </c>
    </row>
    <row r="47" spans="1:18" ht="57" customHeight="1" thickBot="1">
      <c r="A47" s="892"/>
      <c r="B47" s="472"/>
      <c r="C47" s="1022" t="s">
        <v>90</v>
      </c>
      <c r="D47" s="194" t="s">
        <v>78</v>
      </c>
      <c r="E47" s="700"/>
      <c r="F47" s="740"/>
      <c r="G47" s="505">
        <v>12.96</v>
      </c>
      <c r="H47" s="506">
        <v>1850</v>
      </c>
      <c r="I47" s="507">
        <v>11</v>
      </c>
      <c r="J47" s="975">
        <v>2049</v>
      </c>
      <c r="K47" s="374"/>
      <c r="L47" s="375">
        <v>873.73</v>
      </c>
      <c r="M47" s="911">
        <v>1001</v>
      </c>
      <c r="N47" s="89">
        <v>0.3</v>
      </c>
      <c r="O47" s="90">
        <v>0.1</v>
      </c>
      <c r="P47" s="88">
        <v>3.9960039960039939E-2</v>
      </c>
      <c r="Q47" s="75"/>
      <c r="R47" s="140">
        <f>1048*1.1</f>
        <v>1152.8000000000002</v>
      </c>
    </row>
    <row r="48" spans="1:18" s="75" customFormat="1" ht="57" customHeight="1" thickBot="1">
      <c r="A48" s="892"/>
      <c r="B48" s="415"/>
      <c r="C48" s="1022" t="s">
        <v>131</v>
      </c>
      <c r="D48" s="194"/>
      <c r="E48" s="700"/>
      <c r="F48" s="740"/>
      <c r="G48" s="505">
        <v>12.96</v>
      </c>
      <c r="H48" s="506">
        <v>1850</v>
      </c>
      <c r="I48" s="507">
        <v>11</v>
      </c>
      <c r="J48" s="975">
        <v>2049</v>
      </c>
      <c r="K48" s="374"/>
      <c r="L48" s="375">
        <v>873.73</v>
      </c>
      <c r="M48" s="911">
        <v>1001</v>
      </c>
      <c r="N48" s="89">
        <v>0.3</v>
      </c>
      <c r="O48" s="90">
        <v>0.1</v>
      </c>
      <c r="P48" s="88">
        <v>3.9960039960039939E-2</v>
      </c>
      <c r="R48" s="140">
        <f>1048*1.1</f>
        <v>1152.8000000000002</v>
      </c>
    </row>
    <row r="49" spans="1:19" s="75" customFormat="1" ht="57" customHeight="1" thickBot="1">
      <c r="A49" s="897"/>
      <c r="B49" s="414"/>
      <c r="C49" s="1023" t="s">
        <v>85</v>
      </c>
      <c r="D49" s="194" t="s">
        <v>78</v>
      </c>
      <c r="E49" s="701"/>
      <c r="F49" s="711"/>
      <c r="G49" s="508">
        <v>12.96</v>
      </c>
      <c r="H49" s="509">
        <v>1850</v>
      </c>
      <c r="I49" s="510">
        <v>11</v>
      </c>
      <c r="J49" s="975">
        <v>2049</v>
      </c>
      <c r="K49" s="374"/>
      <c r="L49" s="375">
        <v>873.73</v>
      </c>
      <c r="M49" s="911">
        <v>1001</v>
      </c>
      <c r="N49" s="89">
        <v>0.3</v>
      </c>
      <c r="O49" s="90">
        <v>0.1</v>
      </c>
      <c r="P49" s="88">
        <v>3.9960039960039939E-2</v>
      </c>
      <c r="R49" s="140">
        <f>1048*1.1</f>
        <v>1152.8000000000002</v>
      </c>
    </row>
    <row r="50" spans="1:19" ht="15" customHeight="1" thickBot="1">
      <c r="A50" s="881" t="s">
        <v>71</v>
      </c>
      <c r="B50" s="608"/>
      <c r="C50" s="608"/>
      <c r="D50" s="608"/>
      <c r="E50" s="608"/>
      <c r="F50" s="608"/>
      <c r="G50" s="608"/>
      <c r="H50" s="608"/>
      <c r="I50" s="608"/>
      <c r="J50" s="715"/>
      <c r="K50" s="374"/>
      <c r="L50" s="375">
        <v>0</v>
      </c>
      <c r="M50" s="906"/>
      <c r="N50" s="10" t="e">
        <v>#DIV/0!</v>
      </c>
      <c r="O50" s="11" t="e">
        <v>#DIV/0!</v>
      </c>
      <c r="P50" s="9" t="e">
        <v>#DIV/0!</v>
      </c>
      <c r="R50" s="70"/>
    </row>
    <row r="51" spans="1:19" ht="57" customHeight="1" thickBot="1">
      <c r="A51" s="890">
        <v>8</v>
      </c>
      <c r="B51" s="468"/>
      <c r="C51" s="1024" t="s">
        <v>90</v>
      </c>
      <c r="D51" s="29"/>
      <c r="E51" s="706" t="s">
        <v>127</v>
      </c>
      <c r="F51" s="710">
        <v>60</v>
      </c>
      <c r="G51" s="502">
        <v>12.7</v>
      </c>
      <c r="H51" s="503">
        <v>1770</v>
      </c>
      <c r="I51" s="504">
        <v>11</v>
      </c>
      <c r="J51" s="967">
        <v>2049</v>
      </c>
      <c r="K51" s="374"/>
      <c r="L51" s="375">
        <v>873.73</v>
      </c>
      <c r="M51" s="912">
        <v>1001</v>
      </c>
      <c r="N51" s="10">
        <v>0.3</v>
      </c>
      <c r="O51" s="11">
        <v>0.1</v>
      </c>
      <c r="P51" s="9">
        <v>3.9960039960039939E-2</v>
      </c>
      <c r="R51" s="70">
        <f>1048*1.1</f>
        <v>1152.8000000000002</v>
      </c>
    </row>
    <row r="52" spans="1:19" ht="57.75" customHeight="1" thickBot="1">
      <c r="A52" s="897"/>
      <c r="B52" s="416"/>
      <c r="C52" s="1025" t="s">
        <v>91</v>
      </c>
      <c r="D52" s="32"/>
      <c r="E52" s="707"/>
      <c r="F52" s="711"/>
      <c r="G52" s="508">
        <v>12.7</v>
      </c>
      <c r="H52" s="509">
        <v>1770</v>
      </c>
      <c r="I52" s="510">
        <v>11</v>
      </c>
      <c r="J52" s="975">
        <v>2049</v>
      </c>
      <c r="K52" s="374"/>
      <c r="L52" s="375">
        <v>873.73</v>
      </c>
      <c r="M52" s="913">
        <v>1001</v>
      </c>
      <c r="N52" s="10">
        <v>0.3</v>
      </c>
      <c r="O52" s="11">
        <v>0.1</v>
      </c>
      <c r="P52" s="9">
        <v>3.9960039960039939E-2</v>
      </c>
      <c r="R52" s="70"/>
    </row>
    <row r="53" spans="1:19" ht="18.75" customHeight="1" thickBot="1">
      <c r="A53" s="881" t="s">
        <v>110</v>
      </c>
      <c r="B53" s="608"/>
      <c r="C53" s="608"/>
      <c r="D53" s="608"/>
      <c r="E53" s="608"/>
      <c r="F53" s="608"/>
      <c r="G53" s="608"/>
      <c r="H53" s="608"/>
      <c r="I53" s="608"/>
      <c r="J53" s="680"/>
      <c r="K53" s="374"/>
      <c r="L53" s="375">
        <v>0</v>
      </c>
      <c r="M53" s="903"/>
      <c r="N53" s="10" t="e">
        <v>#DIV/0!</v>
      </c>
      <c r="O53" s="11" t="e">
        <v>#DIV/0!</v>
      </c>
      <c r="P53" s="9" t="e">
        <v>#DIV/0!</v>
      </c>
      <c r="R53" s="70"/>
    </row>
    <row r="54" spans="1:19" ht="57" customHeight="1" thickBot="1">
      <c r="A54" s="890">
        <v>9</v>
      </c>
      <c r="B54" s="417"/>
      <c r="C54" s="1026" t="s">
        <v>6</v>
      </c>
      <c r="D54" s="326"/>
      <c r="E54" s="708" t="s">
        <v>152</v>
      </c>
      <c r="F54" s="696">
        <v>80</v>
      </c>
      <c r="G54" s="511">
        <v>10.8</v>
      </c>
      <c r="H54" s="501">
        <v>2024</v>
      </c>
      <c r="I54" s="512">
        <v>10</v>
      </c>
      <c r="J54" s="492">
        <v>1919</v>
      </c>
      <c r="K54" s="374"/>
      <c r="L54" s="375">
        <v>738.98</v>
      </c>
      <c r="M54" s="909">
        <v>830</v>
      </c>
      <c r="N54" s="10">
        <v>0.15</v>
      </c>
      <c r="O54" s="11">
        <v>0.05</v>
      </c>
      <c r="P54" s="9">
        <v>2.0000000000000018E-2</v>
      </c>
      <c r="R54" s="70">
        <f>887*1.1</f>
        <v>975.7</v>
      </c>
    </row>
    <row r="55" spans="1:19" ht="57" customHeight="1" thickBot="1">
      <c r="A55" s="892"/>
      <c r="B55" s="469"/>
      <c r="C55" s="1026" t="s">
        <v>14</v>
      </c>
      <c r="D55" s="326"/>
      <c r="E55" s="708"/>
      <c r="F55" s="697"/>
      <c r="G55" s="511">
        <v>10.8</v>
      </c>
      <c r="H55" s="501">
        <v>2024</v>
      </c>
      <c r="I55" s="512">
        <v>10</v>
      </c>
      <c r="J55" s="497">
        <v>1944</v>
      </c>
      <c r="K55" s="374"/>
      <c r="L55" s="375">
        <v>818.64</v>
      </c>
      <c r="M55" s="914">
        <v>920</v>
      </c>
      <c r="N55" s="10">
        <v>0.15</v>
      </c>
      <c r="O55" s="11">
        <v>0.05</v>
      </c>
      <c r="P55" s="9">
        <v>0.03</v>
      </c>
      <c r="R55" s="70">
        <f>983*1.1</f>
        <v>1081.3000000000002</v>
      </c>
      <c r="S55" s="465"/>
    </row>
    <row r="56" spans="1:19" ht="57" customHeight="1" thickBot="1">
      <c r="A56" s="892"/>
      <c r="B56" s="418"/>
      <c r="C56" s="1027" t="s">
        <v>85</v>
      </c>
      <c r="D56" s="183"/>
      <c r="E56" s="708"/>
      <c r="F56" s="697"/>
      <c r="G56" s="513">
        <v>10.8</v>
      </c>
      <c r="H56" s="514">
        <v>2024</v>
      </c>
      <c r="I56" s="515">
        <v>10</v>
      </c>
      <c r="J56" s="493">
        <v>2321</v>
      </c>
      <c r="K56" s="374"/>
      <c r="L56" s="375">
        <v>960.17</v>
      </c>
      <c r="M56" s="911">
        <v>1100</v>
      </c>
      <c r="N56" s="10">
        <v>0.3</v>
      </c>
      <c r="O56" s="11">
        <v>0.1</v>
      </c>
      <c r="P56" s="9">
        <v>4.0000000000000036E-2</v>
      </c>
      <c r="R56" s="70">
        <f>1153*1.1</f>
        <v>1268.3000000000002</v>
      </c>
      <c r="S56" s="465"/>
    </row>
    <row r="57" spans="1:19" ht="57" customHeight="1" thickBot="1">
      <c r="A57" s="892"/>
      <c r="B57" s="188"/>
      <c r="C57" s="1022" t="s">
        <v>96</v>
      </c>
      <c r="D57" s="184"/>
      <c r="E57" s="708"/>
      <c r="F57" s="697"/>
      <c r="G57" s="516">
        <v>10.8</v>
      </c>
      <c r="H57" s="506">
        <v>2024</v>
      </c>
      <c r="I57" s="507">
        <v>10</v>
      </c>
      <c r="J57" s="493">
        <v>2321</v>
      </c>
      <c r="K57" s="374"/>
      <c r="L57" s="375">
        <v>960.17</v>
      </c>
      <c r="M57" s="911">
        <v>1100</v>
      </c>
      <c r="N57" s="10">
        <v>0.3</v>
      </c>
      <c r="O57" s="11">
        <v>0.1</v>
      </c>
      <c r="P57" s="9">
        <v>4.0000000000000036E-2</v>
      </c>
      <c r="R57" s="70"/>
      <c r="S57" s="465"/>
    </row>
    <row r="58" spans="1:19" ht="57" customHeight="1" thickBot="1">
      <c r="A58" s="892"/>
      <c r="B58" s="188"/>
      <c r="C58" s="1022" t="s">
        <v>107</v>
      </c>
      <c r="D58" s="184"/>
      <c r="E58" s="708" t="s">
        <v>151</v>
      </c>
      <c r="F58" s="697"/>
      <c r="G58" s="516">
        <v>10.8</v>
      </c>
      <c r="H58" s="506">
        <v>2014</v>
      </c>
      <c r="I58" s="507">
        <v>10</v>
      </c>
      <c r="J58" s="493">
        <v>2321</v>
      </c>
      <c r="K58" s="374"/>
      <c r="L58" s="375">
        <v>960.17</v>
      </c>
      <c r="M58" s="911">
        <v>1100</v>
      </c>
      <c r="N58" s="10">
        <v>0.3</v>
      </c>
      <c r="O58" s="11">
        <v>0.1</v>
      </c>
      <c r="P58" s="9">
        <v>4.0000000000000036E-2</v>
      </c>
      <c r="R58" s="70"/>
    </row>
    <row r="59" spans="1:19" ht="57" customHeight="1" thickBot="1">
      <c r="A59" s="892"/>
      <c r="B59" s="188"/>
      <c r="C59" s="1022" t="s">
        <v>90</v>
      </c>
      <c r="D59" s="184"/>
      <c r="E59" s="708"/>
      <c r="F59" s="697"/>
      <c r="G59" s="516">
        <v>10.8</v>
      </c>
      <c r="H59" s="506">
        <v>2014</v>
      </c>
      <c r="I59" s="507">
        <v>10</v>
      </c>
      <c r="J59" s="493">
        <v>2321</v>
      </c>
      <c r="K59" s="374"/>
      <c r="L59" s="375">
        <v>960.17</v>
      </c>
      <c r="M59" s="911">
        <v>1100</v>
      </c>
      <c r="N59" s="10">
        <v>0.3</v>
      </c>
      <c r="O59" s="11">
        <v>0.1</v>
      </c>
      <c r="P59" s="9">
        <v>4.0000000000000036E-2</v>
      </c>
      <c r="R59" s="70"/>
    </row>
    <row r="60" spans="1:19" ht="57" customHeight="1" thickBot="1">
      <c r="A60" s="892"/>
      <c r="B60" s="188"/>
      <c r="C60" s="1022" t="s">
        <v>131</v>
      </c>
      <c r="D60" s="194"/>
      <c r="E60" s="708"/>
      <c r="F60" s="697"/>
      <c r="G60" s="516">
        <v>10.8</v>
      </c>
      <c r="H60" s="506">
        <v>2014</v>
      </c>
      <c r="I60" s="507">
        <v>10</v>
      </c>
      <c r="J60" s="493">
        <v>2321</v>
      </c>
      <c r="K60" s="374"/>
      <c r="L60" s="375">
        <v>960.17</v>
      </c>
      <c r="M60" s="911">
        <v>1100</v>
      </c>
      <c r="N60" s="10">
        <v>0.3</v>
      </c>
      <c r="O60" s="11">
        <v>0.1</v>
      </c>
      <c r="P60" s="9">
        <v>4.0000000000000036E-2</v>
      </c>
      <c r="R60" s="70"/>
    </row>
    <row r="61" spans="1:19" ht="57" customHeight="1" thickBot="1">
      <c r="A61" s="892"/>
      <c r="B61" s="419"/>
      <c r="C61" s="1022" t="s">
        <v>95</v>
      </c>
      <c r="D61" s="184"/>
      <c r="E61" s="708"/>
      <c r="F61" s="697"/>
      <c r="G61" s="516">
        <v>10.8</v>
      </c>
      <c r="H61" s="506">
        <v>2014</v>
      </c>
      <c r="I61" s="507">
        <v>10</v>
      </c>
      <c r="J61" s="493">
        <v>2321</v>
      </c>
      <c r="K61" s="374"/>
      <c r="L61" s="375">
        <v>960.17</v>
      </c>
      <c r="M61" s="911">
        <v>1100</v>
      </c>
      <c r="N61" s="10">
        <v>0.3</v>
      </c>
      <c r="O61" s="11">
        <v>0.1</v>
      </c>
      <c r="P61" s="9">
        <v>4.0000000000000036E-2</v>
      </c>
      <c r="R61" s="70"/>
    </row>
    <row r="62" spans="1:19" ht="57" customHeight="1" thickBot="1">
      <c r="A62" s="892"/>
      <c r="B62" s="186"/>
      <c r="C62" s="1022" t="s">
        <v>111</v>
      </c>
      <c r="D62" s="184"/>
      <c r="E62" s="708" t="s">
        <v>159</v>
      </c>
      <c r="F62" s="697"/>
      <c r="G62" s="516">
        <v>10.8</v>
      </c>
      <c r="H62" s="506">
        <v>1995</v>
      </c>
      <c r="I62" s="507">
        <v>10</v>
      </c>
      <c r="J62" s="493">
        <v>2321</v>
      </c>
      <c r="K62" s="374"/>
      <c r="L62" s="375">
        <v>960.17</v>
      </c>
      <c r="M62" s="911">
        <v>1100</v>
      </c>
      <c r="N62" s="10">
        <v>0.3</v>
      </c>
      <c r="O62" s="11">
        <v>0.1</v>
      </c>
      <c r="P62" s="9">
        <v>4.0000000000000036E-2</v>
      </c>
      <c r="R62" s="70"/>
    </row>
    <row r="63" spans="1:19" s="75" customFormat="1" ht="57" customHeight="1" thickBot="1">
      <c r="A63" s="892"/>
      <c r="B63" s="421"/>
      <c r="C63" s="1008" t="s">
        <v>105</v>
      </c>
      <c r="D63" s="190"/>
      <c r="E63" s="708"/>
      <c r="F63" s="697"/>
      <c r="G63" s="516">
        <v>10.8</v>
      </c>
      <c r="H63" s="506">
        <v>1995</v>
      </c>
      <c r="I63" s="507">
        <v>10</v>
      </c>
      <c r="J63" s="498">
        <v>2417</v>
      </c>
      <c r="K63" s="374"/>
      <c r="L63" s="375"/>
      <c r="M63" s="915">
        <v>1100</v>
      </c>
      <c r="N63" s="89">
        <v>0.3</v>
      </c>
      <c r="O63" s="90">
        <v>0.1</v>
      </c>
      <c r="P63" s="88">
        <v>4.0000000000000036E-2</v>
      </c>
      <c r="R63" s="140"/>
    </row>
    <row r="64" spans="1:19" ht="57" customHeight="1" thickBot="1">
      <c r="A64" s="897"/>
      <c r="B64" s="422"/>
      <c r="C64" s="1009" t="s">
        <v>106</v>
      </c>
      <c r="D64" s="154"/>
      <c r="E64" s="709"/>
      <c r="F64" s="698"/>
      <c r="G64" s="517">
        <v>10.8</v>
      </c>
      <c r="H64" s="509">
        <v>1995</v>
      </c>
      <c r="I64" s="510">
        <v>10</v>
      </c>
      <c r="J64" s="967">
        <v>2417</v>
      </c>
      <c r="K64" s="374"/>
      <c r="L64" s="375">
        <v>960.17</v>
      </c>
      <c r="M64" s="915">
        <v>1100</v>
      </c>
      <c r="N64" s="10">
        <v>0.3</v>
      </c>
      <c r="O64" s="11">
        <v>0.1</v>
      </c>
      <c r="P64" s="9">
        <v>4.0000000000000036E-2</v>
      </c>
      <c r="R64" s="70"/>
    </row>
    <row r="65" spans="1:18" ht="15" customHeight="1" thickBot="1">
      <c r="A65" s="881" t="s">
        <v>36</v>
      </c>
      <c r="B65" s="608"/>
      <c r="C65" s="608"/>
      <c r="D65" s="608"/>
      <c r="E65" s="608"/>
      <c r="F65" s="608"/>
      <c r="G65" s="680"/>
      <c r="H65" s="680"/>
      <c r="I65" s="680"/>
      <c r="J65" s="715"/>
      <c r="K65" s="374"/>
      <c r="L65" s="375">
        <v>0</v>
      </c>
      <c r="M65" s="916"/>
      <c r="N65" s="10" t="e">
        <v>#DIV/0!</v>
      </c>
      <c r="O65" s="11" t="e">
        <v>#DIV/0!</v>
      </c>
      <c r="P65" s="9" t="e">
        <v>#DIV/0!</v>
      </c>
      <c r="R65" s="70"/>
    </row>
    <row r="66" spans="1:18" ht="57" customHeight="1" thickBot="1">
      <c r="A66" s="917">
        <v>10</v>
      </c>
      <c r="B66" s="423"/>
      <c r="C66" s="1028" t="s">
        <v>6</v>
      </c>
      <c r="D66" s="37" t="s">
        <v>78</v>
      </c>
      <c r="E66" s="489" t="s">
        <v>128</v>
      </c>
      <c r="F66" s="518">
        <v>80</v>
      </c>
      <c r="G66" s="490">
        <v>10</v>
      </c>
      <c r="H66" s="491">
        <v>1506</v>
      </c>
      <c r="I66" s="519">
        <v>13</v>
      </c>
      <c r="J66" s="967">
        <v>1429</v>
      </c>
      <c r="K66" s="374"/>
      <c r="L66" s="375">
        <v>523.73</v>
      </c>
      <c r="M66" s="888">
        <v>589</v>
      </c>
      <c r="N66" s="10">
        <v>0.15</v>
      </c>
      <c r="O66" s="11">
        <v>0.05</v>
      </c>
      <c r="P66" s="9">
        <v>0.02</v>
      </c>
      <c r="R66" s="70">
        <f>629*1.1</f>
        <v>691.90000000000009</v>
      </c>
    </row>
    <row r="67" spans="1:18" ht="15" customHeight="1" thickBot="1">
      <c r="A67" s="881" t="s">
        <v>4</v>
      </c>
      <c r="B67" s="608"/>
      <c r="C67" s="608"/>
      <c r="D67" s="608"/>
      <c r="E67" s="608"/>
      <c r="F67" s="608"/>
      <c r="G67" s="608"/>
      <c r="H67" s="608"/>
      <c r="I67" s="608"/>
      <c r="J67" s="715"/>
      <c r="K67" s="374"/>
      <c r="L67" s="375">
        <v>0</v>
      </c>
      <c r="M67" s="916"/>
      <c r="N67" s="10" t="e">
        <v>#DIV/0!</v>
      </c>
      <c r="O67" s="11" t="e">
        <v>#DIV/0!</v>
      </c>
      <c r="P67" s="9" t="e">
        <v>#DIV/0!</v>
      </c>
      <c r="R67" s="70"/>
    </row>
    <row r="68" spans="1:18" ht="30" customHeight="1">
      <c r="A68" s="900">
        <v>11</v>
      </c>
      <c r="B68" s="685"/>
      <c r="C68" s="1029" t="s">
        <v>6</v>
      </c>
      <c r="D68" s="101" t="s">
        <v>78</v>
      </c>
      <c r="E68" s="722" t="s">
        <v>21</v>
      </c>
      <c r="F68" s="494">
        <v>60</v>
      </c>
      <c r="G68" s="561">
        <v>12.9</v>
      </c>
      <c r="H68" s="562">
        <v>1777</v>
      </c>
      <c r="I68" s="563">
        <v>11</v>
      </c>
      <c r="J68" s="967">
        <v>1177</v>
      </c>
      <c r="K68" s="374"/>
      <c r="L68" s="375">
        <v>450.85</v>
      </c>
      <c r="M68" s="918">
        <v>507</v>
      </c>
      <c r="N68" s="10">
        <v>0.1</v>
      </c>
      <c r="O68" s="11">
        <v>0.03</v>
      </c>
      <c r="P68" s="9">
        <v>0.02</v>
      </c>
      <c r="R68" s="70">
        <f>541*1.1</f>
        <v>595.1</v>
      </c>
    </row>
    <row r="69" spans="1:18" ht="30" customHeight="1" thickBot="1">
      <c r="A69" s="901"/>
      <c r="B69" s="686"/>
      <c r="C69" s="1030"/>
      <c r="D69" s="483"/>
      <c r="E69" s="723"/>
      <c r="F69" s="520">
        <v>80</v>
      </c>
      <c r="G69" s="521">
        <v>10.75</v>
      </c>
      <c r="H69" s="522">
        <v>1973</v>
      </c>
      <c r="I69" s="978">
        <v>10</v>
      </c>
      <c r="J69" s="974">
        <v>1367</v>
      </c>
      <c r="K69" s="374"/>
      <c r="L69" s="375">
        <v>523.73</v>
      </c>
      <c r="M69" s="919">
        <v>589</v>
      </c>
      <c r="N69" s="10">
        <v>0.1</v>
      </c>
      <c r="O69" s="11">
        <v>0.03</v>
      </c>
      <c r="P69" s="9">
        <v>0.02</v>
      </c>
      <c r="R69" s="70">
        <f>629*1.1</f>
        <v>691.90000000000009</v>
      </c>
    </row>
    <row r="70" spans="1:18" ht="30" customHeight="1">
      <c r="A70" s="901"/>
      <c r="B70" s="726"/>
      <c r="C70" s="1031" t="s">
        <v>14</v>
      </c>
      <c r="D70" s="101" t="s">
        <v>78</v>
      </c>
      <c r="E70" s="724"/>
      <c r="F70" s="494">
        <v>60</v>
      </c>
      <c r="G70" s="561">
        <v>12.9</v>
      </c>
      <c r="H70" s="562">
        <v>1777</v>
      </c>
      <c r="I70" s="563">
        <v>11</v>
      </c>
      <c r="J70" s="975">
        <v>1319</v>
      </c>
      <c r="K70" s="374"/>
      <c r="L70" s="375">
        <v>501.69</v>
      </c>
      <c r="M70" s="905">
        <v>564</v>
      </c>
      <c r="N70" s="10">
        <v>0.15</v>
      </c>
      <c r="O70" s="11">
        <v>0.05</v>
      </c>
      <c r="P70" s="9">
        <v>0.03</v>
      </c>
      <c r="R70" s="70">
        <f>602*1.1</f>
        <v>662.2</v>
      </c>
    </row>
    <row r="71" spans="1:18" ht="30" customHeight="1" thickBot="1">
      <c r="A71" s="901"/>
      <c r="B71" s="727"/>
      <c r="C71" s="1032"/>
      <c r="D71" s="483"/>
      <c r="E71" s="725"/>
      <c r="F71" s="496">
        <v>80</v>
      </c>
      <c r="G71" s="571">
        <v>10.75</v>
      </c>
      <c r="H71" s="572">
        <v>1973</v>
      </c>
      <c r="I71" s="979">
        <v>10</v>
      </c>
      <c r="J71" s="974">
        <v>1586</v>
      </c>
      <c r="K71" s="374"/>
      <c r="L71" s="375">
        <v>601.69000000000005</v>
      </c>
      <c r="M71" s="920">
        <v>676</v>
      </c>
      <c r="N71" s="10">
        <v>0.15</v>
      </c>
      <c r="O71" s="11">
        <v>0.05</v>
      </c>
      <c r="P71" s="9">
        <v>0.03</v>
      </c>
      <c r="R71" s="70">
        <f>722*1.1</f>
        <v>794.2</v>
      </c>
    </row>
    <row r="72" spans="1:18" s="75" customFormat="1" ht="30" customHeight="1">
      <c r="A72" s="901"/>
      <c r="B72" s="683"/>
      <c r="C72" s="1031" t="s">
        <v>44</v>
      </c>
      <c r="D72" s="101" t="s">
        <v>78</v>
      </c>
      <c r="E72" s="725"/>
      <c r="F72" s="564">
        <v>60</v>
      </c>
      <c r="G72" s="565">
        <v>12.9</v>
      </c>
      <c r="H72" s="566">
        <v>1777</v>
      </c>
      <c r="I72" s="980">
        <v>11</v>
      </c>
      <c r="J72" s="975">
        <v>1319</v>
      </c>
      <c r="K72" s="374"/>
      <c r="L72" s="375">
        <v>501.69</v>
      </c>
      <c r="M72" s="905">
        <v>564</v>
      </c>
      <c r="N72" s="89">
        <v>0.15</v>
      </c>
      <c r="O72" s="90">
        <v>0.05</v>
      </c>
      <c r="P72" s="88">
        <v>0.03</v>
      </c>
      <c r="R72" s="140">
        <f>602*1.1</f>
        <v>662.2</v>
      </c>
    </row>
    <row r="73" spans="1:18" s="75" customFormat="1" ht="30" customHeight="1" thickBot="1">
      <c r="A73" s="901"/>
      <c r="B73" s="684"/>
      <c r="C73" s="1033"/>
      <c r="D73" s="452"/>
      <c r="E73" s="725"/>
      <c r="F73" s="520">
        <v>80</v>
      </c>
      <c r="G73" s="521">
        <v>10.75</v>
      </c>
      <c r="H73" s="522">
        <v>1973</v>
      </c>
      <c r="I73" s="978">
        <v>10</v>
      </c>
      <c r="J73" s="974">
        <v>1586</v>
      </c>
      <c r="K73" s="374"/>
      <c r="L73" s="375">
        <v>601.69000000000005</v>
      </c>
      <c r="M73" s="920">
        <v>676</v>
      </c>
      <c r="N73" s="89">
        <v>0.15</v>
      </c>
      <c r="O73" s="90">
        <v>0.05</v>
      </c>
      <c r="P73" s="88">
        <v>0.03</v>
      </c>
      <c r="R73" s="140">
        <f>722*1.1</f>
        <v>794.2</v>
      </c>
    </row>
    <row r="74" spans="1:18" ht="30" customHeight="1">
      <c r="A74" s="901"/>
      <c r="B74" s="477"/>
      <c r="C74" s="1034" t="s">
        <v>101</v>
      </c>
      <c r="D74" s="101" t="s">
        <v>78</v>
      </c>
      <c r="E74" s="690" t="s">
        <v>21</v>
      </c>
      <c r="F74" s="539">
        <v>60</v>
      </c>
      <c r="G74" s="523">
        <v>12.9</v>
      </c>
      <c r="H74" s="562">
        <v>1777</v>
      </c>
      <c r="I74" s="563">
        <v>11</v>
      </c>
      <c r="J74" s="975">
        <v>1837</v>
      </c>
      <c r="K74" s="374"/>
      <c r="L74" s="375">
        <v>782.2</v>
      </c>
      <c r="M74" s="921">
        <v>896</v>
      </c>
      <c r="N74" s="10">
        <v>0.3</v>
      </c>
      <c r="O74" s="11">
        <v>0.1</v>
      </c>
      <c r="P74" s="9">
        <v>0.04</v>
      </c>
      <c r="R74" s="70">
        <f>939*1.1</f>
        <v>1032.9000000000001</v>
      </c>
    </row>
    <row r="75" spans="1:18" ht="30" customHeight="1" thickBot="1">
      <c r="A75" s="901"/>
      <c r="B75" s="209"/>
      <c r="C75" s="1035"/>
      <c r="D75" s="154"/>
      <c r="E75" s="691"/>
      <c r="F75" s="545">
        <v>80</v>
      </c>
      <c r="G75" s="571">
        <v>10.75</v>
      </c>
      <c r="H75" s="572">
        <v>1973</v>
      </c>
      <c r="I75" s="573">
        <v>10</v>
      </c>
      <c r="J75" s="974">
        <v>2064</v>
      </c>
      <c r="K75" s="374"/>
      <c r="L75" s="375">
        <v>879.66</v>
      </c>
      <c r="M75" s="922">
        <v>1008</v>
      </c>
      <c r="N75" s="10">
        <v>0.3</v>
      </c>
      <c r="O75" s="11">
        <v>0.1</v>
      </c>
      <c r="P75" s="9">
        <v>0.04</v>
      </c>
      <c r="R75" s="70">
        <f>1056*1.1</f>
        <v>1161.6000000000001</v>
      </c>
    </row>
    <row r="76" spans="1:18" ht="27.95" customHeight="1">
      <c r="A76" s="901"/>
      <c r="B76" s="477"/>
      <c r="C76" s="1036" t="s">
        <v>102</v>
      </c>
      <c r="D76" s="101" t="s">
        <v>78</v>
      </c>
      <c r="E76" s="691"/>
      <c r="F76" s="539">
        <v>60</v>
      </c>
      <c r="G76" s="523">
        <v>12.9</v>
      </c>
      <c r="H76" s="562">
        <v>1777</v>
      </c>
      <c r="I76" s="563">
        <v>11</v>
      </c>
      <c r="J76" s="975">
        <v>1837</v>
      </c>
      <c r="K76" s="374"/>
      <c r="L76" s="375">
        <v>782.2</v>
      </c>
      <c r="M76" s="923">
        <v>896</v>
      </c>
      <c r="N76" s="10">
        <v>0.3</v>
      </c>
      <c r="O76" s="11">
        <v>0.1</v>
      </c>
      <c r="P76" s="9">
        <v>0.04</v>
      </c>
      <c r="R76" s="70"/>
    </row>
    <row r="77" spans="1:18" ht="29.25" customHeight="1" thickBot="1">
      <c r="A77" s="901"/>
      <c r="B77" s="339"/>
      <c r="C77" s="1037"/>
      <c r="D77" s="154"/>
      <c r="E77" s="691"/>
      <c r="F77" s="545">
        <v>80</v>
      </c>
      <c r="G77" s="571">
        <v>10.75</v>
      </c>
      <c r="H77" s="572">
        <v>1973</v>
      </c>
      <c r="I77" s="573">
        <v>10</v>
      </c>
      <c r="J77" s="974">
        <v>2064</v>
      </c>
      <c r="K77" s="374"/>
      <c r="L77" s="375">
        <v>879.66</v>
      </c>
      <c r="M77" s="922">
        <v>1008</v>
      </c>
      <c r="N77" s="10">
        <v>0.3</v>
      </c>
      <c r="O77" s="11">
        <v>0.1</v>
      </c>
      <c r="P77" s="9">
        <v>0.04</v>
      </c>
      <c r="R77" s="70"/>
    </row>
    <row r="78" spans="1:18" ht="30" customHeight="1">
      <c r="A78" s="901"/>
      <c r="B78" s="477"/>
      <c r="C78" s="1034" t="s">
        <v>103</v>
      </c>
      <c r="D78" s="101" t="s">
        <v>78</v>
      </c>
      <c r="E78" s="691"/>
      <c r="F78" s="539">
        <v>60</v>
      </c>
      <c r="G78" s="561">
        <v>12.9</v>
      </c>
      <c r="H78" s="562">
        <v>1777</v>
      </c>
      <c r="I78" s="563">
        <v>11</v>
      </c>
      <c r="J78" s="975">
        <v>1837</v>
      </c>
      <c r="K78" s="374"/>
      <c r="L78" s="375">
        <v>782.2</v>
      </c>
      <c r="M78" s="923">
        <v>896</v>
      </c>
      <c r="N78" s="10">
        <v>0.3</v>
      </c>
      <c r="O78" s="11">
        <v>0.1</v>
      </c>
      <c r="P78" s="9">
        <v>0.04</v>
      </c>
      <c r="R78" s="70"/>
    </row>
    <row r="79" spans="1:18" ht="30" customHeight="1" thickBot="1">
      <c r="A79" s="901"/>
      <c r="B79" s="209"/>
      <c r="C79" s="1035"/>
      <c r="D79" s="154"/>
      <c r="E79" s="691"/>
      <c r="F79" s="545">
        <v>80</v>
      </c>
      <c r="G79" s="571">
        <v>10.75</v>
      </c>
      <c r="H79" s="572">
        <v>1973</v>
      </c>
      <c r="I79" s="573">
        <v>10</v>
      </c>
      <c r="J79" s="974">
        <v>2064</v>
      </c>
      <c r="K79" s="374"/>
      <c r="L79" s="375">
        <v>879.66</v>
      </c>
      <c r="M79" s="922">
        <v>1008</v>
      </c>
      <c r="N79" s="10">
        <v>0.3</v>
      </c>
      <c r="O79" s="11">
        <v>0.1</v>
      </c>
      <c r="P79" s="9">
        <v>0.04</v>
      </c>
      <c r="R79" s="70"/>
    </row>
    <row r="80" spans="1:18" ht="28.5" customHeight="1">
      <c r="A80" s="901"/>
      <c r="B80" s="477"/>
      <c r="C80" s="1038" t="s">
        <v>100</v>
      </c>
      <c r="D80" s="101" t="s">
        <v>78</v>
      </c>
      <c r="E80" s="691"/>
      <c r="F80" s="539">
        <v>60</v>
      </c>
      <c r="G80" s="561">
        <v>12.9</v>
      </c>
      <c r="H80" s="562">
        <v>1777</v>
      </c>
      <c r="I80" s="563">
        <v>11</v>
      </c>
      <c r="J80" s="975">
        <v>1837</v>
      </c>
      <c r="K80" s="374"/>
      <c r="L80" s="375">
        <v>782.2</v>
      </c>
      <c r="M80" s="923">
        <v>896</v>
      </c>
      <c r="N80" s="10">
        <v>0.3</v>
      </c>
      <c r="O80" s="11">
        <v>0.1</v>
      </c>
      <c r="P80" s="9">
        <v>0.04</v>
      </c>
      <c r="R80" s="70"/>
    </row>
    <row r="81" spans="1:18" ht="29.25" customHeight="1" thickBot="1">
      <c r="A81" s="901"/>
      <c r="B81" s="339"/>
      <c r="C81" s="1039"/>
      <c r="D81" s="154"/>
      <c r="E81" s="691"/>
      <c r="F81" s="545">
        <v>80</v>
      </c>
      <c r="G81" s="571">
        <v>10.75</v>
      </c>
      <c r="H81" s="572">
        <v>1973</v>
      </c>
      <c r="I81" s="573">
        <v>10</v>
      </c>
      <c r="J81" s="974">
        <v>2064</v>
      </c>
      <c r="K81" s="374"/>
      <c r="L81" s="375">
        <v>879.66</v>
      </c>
      <c r="M81" s="922">
        <v>1008</v>
      </c>
      <c r="N81" s="10">
        <v>0.3</v>
      </c>
      <c r="O81" s="11">
        <v>0.1</v>
      </c>
      <c r="P81" s="9">
        <v>0.04</v>
      </c>
      <c r="R81" s="70"/>
    </row>
    <row r="82" spans="1:18" ht="30" customHeight="1">
      <c r="A82" s="901"/>
      <c r="B82" s="342"/>
      <c r="C82" s="1040" t="s">
        <v>99</v>
      </c>
      <c r="D82" s="101" t="s">
        <v>78</v>
      </c>
      <c r="E82" s="691"/>
      <c r="F82" s="539">
        <v>60</v>
      </c>
      <c r="G82" s="561">
        <v>12.9</v>
      </c>
      <c r="H82" s="562">
        <v>1777</v>
      </c>
      <c r="I82" s="563">
        <v>11</v>
      </c>
      <c r="J82" s="975">
        <v>1837</v>
      </c>
      <c r="K82" s="374"/>
      <c r="L82" s="375">
        <v>782.2</v>
      </c>
      <c r="M82" s="923">
        <v>896</v>
      </c>
      <c r="N82" s="10">
        <v>0.3</v>
      </c>
      <c r="O82" s="11">
        <v>0.1</v>
      </c>
      <c r="P82" s="9">
        <v>0.04</v>
      </c>
      <c r="R82" s="70"/>
    </row>
    <row r="83" spans="1:18" ht="30" customHeight="1" thickBot="1">
      <c r="A83" s="901"/>
      <c r="B83" s="209"/>
      <c r="C83" s="1041"/>
      <c r="D83" s="154"/>
      <c r="E83" s="691"/>
      <c r="F83" s="545">
        <v>80</v>
      </c>
      <c r="G83" s="571">
        <v>10.75</v>
      </c>
      <c r="H83" s="572">
        <v>1973</v>
      </c>
      <c r="I83" s="979">
        <v>10</v>
      </c>
      <c r="J83" s="974">
        <v>2064</v>
      </c>
      <c r="K83" s="374"/>
      <c r="L83" s="375">
        <v>879.66</v>
      </c>
      <c r="M83" s="922">
        <v>1008</v>
      </c>
      <c r="N83" s="10">
        <v>0.3</v>
      </c>
      <c r="O83" s="11">
        <v>0.1</v>
      </c>
      <c r="P83" s="9">
        <v>0.04</v>
      </c>
      <c r="R83" s="70"/>
    </row>
    <row r="84" spans="1:18" ht="30" customHeight="1">
      <c r="A84" s="901"/>
      <c r="B84" s="342"/>
      <c r="C84" s="1040" t="s">
        <v>109</v>
      </c>
      <c r="D84" s="101" t="s">
        <v>78</v>
      </c>
      <c r="E84" s="691"/>
      <c r="F84" s="539">
        <v>60</v>
      </c>
      <c r="G84" s="561">
        <v>12.9</v>
      </c>
      <c r="H84" s="562">
        <v>1777</v>
      </c>
      <c r="I84" s="563">
        <v>11</v>
      </c>
      <c r="J84" s="975">
        <v>1837</v>
      </c>
      <c r="K84" s="374"/>
      <c r="L84" s="375">
        <v>782.2</v>
      </c>
      <c r="M84" s="924">
        <v>896</v>
      </c>
      <c r="N84" s="10">
        <v>0.3</v>
      </c>
      <c r="O84" s="11">
        <v>0.1</v>
      </c>
      <c r="P84" s="9">
        <v>0.04</v>
      </c>
      <c r="R84" s="70"/>
    </row>
    <row r="85" spans="1:18" ht="30" customHeight="1" thickBot="1">
      <c r="A85" s="901"/>
      <c r="B85" s="209"/>
      <c r="C85" s="1041"/>
      <c r="D85" s="154"/>
      <c r="E85" s="691"/>
      <c r="F85" s="545">
        <v>80</v>
      </c>
      <c r="G85" s="571">
        <v>10.75</v>
      </c>
      <c r="H85" s="572">
        <v>1973</v>
      </c>
      <c r="I85" s="979">
        <v>10</v>
      </c>
      <c r="J85" s="974">
        <v>2064</v>
      </c>
      <c r="K85" s="374"/>
      <c r="L85" s="375">
        <v>879.66</v>
      </c>
      <c r="M85" s="922">
        <v>1008</v>
      </c>
      <c r="N85" s="10">
        <v>0.3</v>
      </c>
      <c r="O85" s="11">
        <v>0.1</v>
      </c>
      <c r="P85" s="9">
        <v>0.04</v>
      </c>
      <c r="R85" s="70"/>
    </row>
    <row r="86" spans="1:18" ht="30" customHeight="1">
      <c r="A86" s="901"/>
      <c r="B86" s="477"/>
      <c r="C86" s="1040" t="s">
        <v>97</v>
      </c>
      <c r="D86" s="101" t="s">
        <v>78</v>
      </c>
      <c r="E86" s="691"/>
      <c r="F86" s="539">
        <v>60</v>
      </c>
      <c r="G86" s="561">
        <v>12.9</v>
      </c>
      <c r="H86" s="562">
        <v>1777</v>
      </c>
      <c r="I86" s="563">
        <v>11</v>
      </c>
      <c r="J86" s="975">
        <v>1837</v>
      </c>
      <c r="K86" s="374"/>
      <c r="L86" s="375">
        <v>782.2</v>
      </c>
      <c r="M86" s="923">
        <v>896</v>
      </c>
      <c r="N86" s="10">
        <v>0.3</v>
      </c>
      <c r="O86" s="11">
        <v>0.1</v>
      </c>
      <c r="P86" s="9">
        <v>0.04</v>
      </c>
      <c r="R86" s="70"/>
    </row>
    <row r="87" spans="1:18" ht="30" customHeight="1" thickBot="1">
      <c r="A87" s="901"/>
      <c r="B87" s="209"/>
      <c r="C87" s="1041"/>
      <c r="D87" s="154"/>
      <c r="E87" s="691"/>
      <c r="F87" s="545">
        <v>80</v>
      </c>
      <c r="G87" s="571">
        <v>10.75</v>
      </c>
      <c r="H87" s="572">
        <v>1973</v>
      </c>
      <c r="I87" s="979">
        <v>10</v>
      </c>
      <c r="J87" s="974">
        <v>2064</v>
      </c>
      <c r="K87" s="374"/>
      <c r="L87" s="375">
        <v>879.66</v>
      </c>
      <c r="M87" s="922">
        <v>1008</v>
      </c>
      <c r="N87" s="10">
        <v>0.3</v>
      </c>
      <c r="O87" s="11">
        <v>0.1</v>
      </c>
      <c r="P87" s="9">
        <v>0.04</v>
      </c>
      <c r="R87" s="70"/>
    </row>
    <row r="88" spans="1:18" ht="30" customHeight="1">
      <c r="A88" s="901"/>
      <c r="B88" s="477"/>
      <c r="C88" s="1040" t="s">
        <v>96</v>
      </c>
      <c r="D88" s="101" t="s">
        <v>78</v>
      </c>
      <c r="E88" s="691"/>
      <c r="F88" s="539">
        <v>60</v>
      </c>
      <c r="G88" s="561">
        <v>12.9</v>
      </c>
      <c r="H88" s="562">
        <v>1777</v>
      </c>
      <c r="I88" s="563">
        <v>11</v>
      </c>
      <c r="J88" s="975">
        <v>1837</v>
      </c>
      <c r="K88" s="374"/>
      <c r="L88" s="375">
        <v>782.2</v>
      </c>
      <c r="M88" s="923">
        <v>896</v>
      </c>
      <c r="N88" s="10">
        <v>0.3</v>
      </c>
      <c r="O88" s="11">
        <v>0.1</v>
      </c>
      <c r="P88" s="9">
        <v>0.04</v>
      </c>
      <c r="R88" s="70"/>
    </row>
    <row r="89" spans="1:18" ht="30" customHeight="1" thickBot="1">
      <c r="A89" s="901"/>
      <c r="B89" s="209"/>
      <c r="C89" s="1041"/>
      <c r="D89" s="154"/>
      <c r="E89" s="691"/>
      <c r="F89" s="545">
        <v>80</v>
      </c>
      <c r="G89" s="571">
        <v>10.75</v>
      </c>
      <c r="H89" s="572">
        <v>1973</v>
      </c>
      <c r="I89" s="979">
        <v>10</v>
      </c>
      <c r="J89" s="974">
        <v>2064</v>
      </c>
      <c r="K89" s="374"/>
      <c r="L89" s="375">
        <v>879.66</v>
      </c>
      <c r="M89" s="922">
        <v>1008</v>
      </c>
      <c r="N89" s="10">
        <v>0.3</v>
      </c>
      <c r="O89" s="11">
        <v>0.1</v>
      </c>
      <c r="P89" s="9">
        <v>0.04</v>
      </c>
      <c r="R89" s="70"/>
    </row>
    <row r="90" spans="1:18" ht="30" customHeight="1">
      <c r="A90" s="901"/>
      <c r="B90" s="477"/>
      <c r="C90" s="1040" t="s">
        <v>93</v>
      </c>
      <c r="D90" s="101" t="s">
        <v>78</v>
      </c>
      <c r="E90" s="691"/>
      <c r="F90" s="539">
        <v>60</v>
      </c>
      <c r="G90" s="561">
        <v>12.9</v>
      </c>
      <c r="H90" s="562">
        <v>1777</v>
      </c>
      <c r="I90" s="563">
        <v>11</v>
      </c>
      <c r="J90" s="975">
        <v>1837</v>
      </c>
      <c r="K90" s="374"/>
      <c r="L90" s="375">
        <v>782.2</v>
      </c>
      <c r="M90" s="923">
        <v>896</v>
      </c>
      <c r="N90" s="10">
        <v>0.3</v>
      </c>
      <c r="O90" s="11">
        <v>0.1</v>
      </c>
      <c r="P90" s="9">
        <v>0.04</v>
      </c>
      <c r="R90" s="70"/>
    </row>
    <row r="91" spans="1:18" ht="30" customHeight="1" thickBot="1">
      <c r="A91" s="901"/>
      <c r="B91" s="339"/>
      <c r="C91" s="1041"/>
      <c r="D91" s="154"/>
      <c r="E91" s="691"/>
      <c r="F91" s="545">
        <v>80</v>
      </c>
      <c r="G91" s="571">
        <v>10.75</v>
      </c>
      <c r="H91" s="572">
        <v>1973</v>
      </c>
      <c r="I91" s="979">
        <v>10</v>
      </c>
      <c r="J91" s="974">
        <v>2064</v>
      </c>
      <c r="K91" s="374"/>
      <c r="L91" s="375">
        <v>879.66</v>
      </c>
      <c r="M91" s="922">
        <v>1008</v>
      </c>
      <c r="N91" s="10">
        <v>0.3</v>
      </c>
      <c r="O91" s="11">
        <v>0.1</v>
      </c>
      <c r="P91" s="9">
        <v>0.04</v>
      </c>
      <c r="R91" s="70"/>
    </row>
    <row r="92" spans="1:18" ht="30" customHeight="1">
      <c r="A92" s="901"/>
      <c r="B92" s="342"/>
      <c r="C92" s="1040" t="s">
        <v>94</v>
      </c>
      <c r="D92" s="101"/>
      <c r="E92" s="691"/>
      <c r="F92" s="539">
        <v>60</v>
      </c>
      <c r="G92" s="561">
        <v>12.9</v>
      </c>
      <c r="H92" s="562">
        <v>1777</v>
      </c>
      <c r="I92" s="563">
        <v>11</v>
      </c>
      <c r="J92" s="975">
        <v>1837</v>
      </c>
      <c r="K92" s="374"/>
      <c r="L92" s="375">
        <v>782.2</v>
      </c>
      <c r="M92" s="925">
        <v>896</v>
      </c>
      <c r="N92" s="10">
        <v>0.3</v>
      </c>
      <c r="O92" s="11">
        <v>0.1</v>
      </c>
      <c r="P92" s="9">
        <v>0.04</v>
      </c>
      <c r="R92" s="70"/>
    </row>
    <row r="93" spans="1:18" ht="30" customHeight="1" thickBot="1">
      <c r="A93" s="901"/>
      <c r="B93" s="339"/>
      <c r="C93" s="1041"/>
      <c r="D93" s="154"/>
      <c r="E93" s="691"/>
      <c r="F93" s="545">
        <v>80</v>
      </c>
      <c r="G93" s="571">
        <v>10.75</v>
      </c>
      <c r="H93" s="572">
        <v>1973</v>
      </c>
      <c r="I93" s="979">
        <v>10</v>
      </c>
      <c r="J93" s="974">
        <v>2064</v>
      </c>
      <c r="K93" s="374"/>
      <c r="L93" s="375">
        <v>879.66</v>
      </c>
      <c r="M93" s="922">
        <v>1008</v>
      </c>
      <c r="N93" s="10">
        <v>0.3</v>
      </c>
      <c r="O93" s="11">
        <v>0.1</v>
      </c>
      <c r="P93" s="9">
        <v>0.04</v>
      </c>
      <c r="R93" s="70"/>
    </row>
    <row r="94" spans="1:18" s="75" customFormat="1" ht="30" customHeight="1">
      <c r="A94" s="901"/>
      <c r="B94" s="342"/>
      <c r="C94" s="1040" t="s">
        <v>112</v>
      </c>
      <c r="D94" s="101" t="s">
        <v>78</v>
      </c>
      <c r="E94" s="691"/>
      <c r="F94" s="539">
        <v>60</v>
      </c>
      <c r="G94" s="561">
        <v>12.9</v>
      </c>
      <c r="H94" s="562">
        <v>1777</v>
      </c>
      <c r="I94" s="563">
        <v>11</v>
      </c>
      <c r="J94" s="975">
        <v>1837</v>
      </c>
      <c r="K94" s="374"/>
      <c r="L94" s="375"/>
      <c r="M94" s="925">
        <v>896</v>
      </c>
      <c r="N94" s="89">
        <v>0.3</v>
      </c>
      <c r="O94" s="90">
        <v>0.1</v>
      </c>
      <c r="P94" s="88">
        <v>0.04</v>
      </c>
      <c r="R94" s="140"/>
    </row>
    <row r="95" spans="1:18" s="75" customFormat="1" ht="30" customHeight="1" thickBot="1">
      <c r="A95" s="901"/>
      <c r="B95" s="339"/>
      <c r="C95" s="1041"/>
      <c r="D95" s="154"/>
      <c r="E95" s="691"/>
      <c r="F95" s="545">
        <v>80</v>
      </c>
      <c r="G95" s="571">
        <v>10.75</v>
      </c>
      <c r="H95" s="572">
        <v>1973</v>
      </c>
      <c r="I95" s="979">
        <v>10</v>
      </c>
      <c r="J95" s="974">
        <v>2064</v>
      </c>
      <c r="K95" s="374"/>
      <c r="L95" s="375"/>
      <c r="M95" s="922">
        <v>1008</v>
      </c>
      <c r="N95" s="89">
        <v>0.3</v>
      </c>
      <c r="O95" s="90">
        <v>0.1</v>
      </c>
      <c r="P95" s="88">
        <v>0.04</v>
      </c>
      <c r="R95" s="140"/>
    </row>
    <row r="96" spans="1:18" s="75" customFormat="1" ht="30" customHeight="1">
      <c r="A96" s="901"/>
      <c r="B96" s="458"/>
      <c r="C96" s="1040" t="s">
        <v>160</v>
      </c>
      <c r="D96" s="101" t="s">
        <v>78</v>
      </c>
      <c r="E96" s="691"/>
      <c r="F96" s="539">
        <v>60</v>
      </c>
      <c r="G96" s="561">
        <v>12.9</v>
      </c>
      <c r="H96" s="562">
        <v>1777</v>
      </c>
      <c r="I96" s="563">
        <v>11</v>
      </c>
      <c r="J96" s="975">
        <v>1837</v>
      </c>
      <c r="K96" s="374"/>
      <c r="L96" s="375"/>
      <c r="M96" s="925"/>
      <c r="N96" s="89">
        <v>0.3</v>
      </c>
      <c r="O96" s="90">
        <v>0.1</v>
      </c>
      <c r="P96" s="88">
        <v>0.04</v>
      </c>
      <c r="R96" s="140"/>
    </row>
    <row r="97" spans="1:18" s="75" customFormat="1" ht="30" customHeight="1" thickBot="1">
      <c r="A97" s="901"/>
      <c r="B97" s="458"/>
      <c r="C97" s="1041"/>
      <c r="D97" s="281"/>
      <c r="E97" s="691"/>
      <c r="F97" s="545">
        <v>80</v>
      </c>
      <c r="G97" s="571">
        <v>10.75</v>
      </c>
      <c r="H97" s="572">
        <v>1973</v>
      </c>
      <c r="I97" s="979">
        <v>10</v>
      </c>
      <c r="J97" s="974">
        <v>2064</v>
      </c>
      <c r="K97" s="374"/>
      <c r="L97" s="375"/>
      <c r="M97" s="925"/>
      <c r="N97" s="89">
        <v>0.3</v>
      </c>
      <c r="O97" s="90">
        <v>0.1</v>
      </c>
      <c r="P97" s="88">
        <v>0.04</v>
      </c>
      <c r="R97" s="140"/>
    </row>
    <row r="98" spans="1:18" s="75" customFormat="1" ht="30" customHeight="1">
      <c r="A98" s="901"/>
      <c r="B98" s="342"/>
      <c r="C98" s="1040" t="s">
        <v>133</v>
      </c>
      <c r="D98" s="101"/>
      <c r="E98" s="691"/>
      <c r="F98" s="539">
        <v>60</v>
      </c>
      <c r="G98" s="561">
        <v>12.9</v>
      </c>
      <c r="H98" s="562">
        <v>1777</v>
      </c>
      <c r="I98" s="563">
        <v>11</v>
      </c>
      <c r="J98" s="975">
        <v>1837</v>
      </c>
      <c r="K98" s="374"/>
      <c r="L98" s="375"/>
      <c r="M98" s="925">
        <v>896</v>
      </c>
      <c r="N98" s="89">
        <v>0.3</v>
      </c>
      <c r="O98" s="90">
        <v>0.1</v>
      </c>
      <c r="P98" s="88">
        <v>0.04</v>
      </c>
      <c r="R98" s="140"/>
    </row>
    <row r="99" spans="1:18" s="75" customFormat="1" ht="30" customHeight="1" thickBot="1">
      <c r="A99" s="901"/>
      <c r="B99" s="339"/>
      <c r="C99" s="1041"/>
      <c r="D99" s="154"/>
      <c r="E99" s="691"/>
      <c r="F99" s="545">
        <v>80</v>
      </c>
      <c r="G99" s="571">
        <v>10.75</v>
      </c>
      <c r="H99" s="572">
        <v>1973</v>
      </c>
      <c r="I99" s="979">
        <v>10</v>
      </c>
      <c r="J99" s="974">
        <v>2064</v>
      </c>
      <c r="K99" s="374"/>
      <c r="L99" s="375"/>
      <c r="M99" s="922">
        <v>1008</v>
      </c>
      <c r="N99" s="89">
        <v>0.3</v>
      </c>
      <c r="O99" s="90">
        <v>0.1</v>
      </c>
      <c r="P99" s="88">
        <v>0.04</v>
      </c>
      <c r="R99" s="140"/>
    </row>
    <row r="100" spans="1:18" ht="30" customHeight="1">
      <c r="A100" s="901"/>
      <c r="B100" s="335"/>
      <c r="C100" s="1042" t="s">
        <v>95</v>
      </c>
      <c r="D100" s="193"/>
      <c r="E100" s="691"/>
      <c r="F100" s="539">
        <v>60</v>
      </c>
      <c r="G100" s="561">
        <v>12.9</v>
      </c>
      <c r="H100" s="562">
        <v>1777</v>
      </c>
      <c r="I100" s="563">
        <v>11</v>
      </c>
      <c r="J100" s="975">
        <v>1837</v>
      </c>
      <c r="K100" s="374"/>
      <c r="L100" s="375">
        <v>782.2</v>
      </c>
      <c r="M100" s="925">
        <v>896</v>
      </c>
      <c r="N100" s="89">
        <v>0.3</v>
      </c>
      <c r="O100" s="90">
        <v>0.1</v>
      </c>
      <c r="P100" s="88">
        <v>0.04</v>
      </c>
      <c r="R100" s="70"/>
    </row>
    <row r="101" spans="1:18" ht="30" customHeight="1" thickBot="1">
      <c r="A101" s="902"/>
      <c r="B101" s="209"/>
      <c r="C101" s="1041"/>
      <c r="D101" s="154"/>
      <c r="E101" s="692"/>
      <c r="F101" s="545">
        <v>80</v>
      </c>
      <c r="G101" s="571">
        <v>10.75</v>
      </c>
      <c r="H101" s="572">
        <v>1973</v>
      </c>
      <c r="I101" s="979">
        <v>10</v>
      </c>
      <c r="J101" s="967">
        <v>2064</v>
      </c>
      <c r="K101" s="374"/>
      <c r="L101" s="375">
        <v>879.66</v>
      </c>
      <c r="M101" s="922">
        <v>1008</v>
      </c>
      <c r="N101" s="89">
        <v>0.3</v>
      </c>
      <c r="O101" s="90">
        <v>0.1</v>
      </c>
      <c r="P101" s="88">
        <v>0.04</v>
      </c>
      <c r="R101" s="70"/>
    </row>
    <row r="102" spans="1:18" s="75" customFormat="1" ht="19.899999999999999" customHeight="1" thickBot="1">
      <c r="A102" s="898" t="s">
        <v>161</v>
      </c>
      <c r="B102" s="693"/>
      <c r="C102" s="693"/>
      <c r="D102" s="693"/>
      <c r="E102" s="693"/>
      <c r="F102" s="693"/>
      <c r="G102" s="693"/>
      <c r="H102" s="693"/>
      <c r="I102" s="693"/>
      <c r="J102" s="695"/>
      <c r="K102" s="374"/>
      <c r="L102" s="375"/>
      <c r="M102" s="925"/>
      <c r="N102" s="89"/>
      <c r="O102" s="90"/>
      <c r="P102" s="88"/>
      <c r="R102" s="140"/>
    </row>
    <row r="103" spans="1:18" s="75" customFormat="1" ht="56.45" customHeight="1" thickBot="1">
      <c r="A103" s="900">
        <v>12</v>
      </c>
      <c r="B103" s="462"/>
      <c r="C103" s="1043" t="s">
        <v>6</v>
      </c>
      <c r="D103" s="37"/>
      <c r="E103" s="690" t="s">
        <v>21</v>
      </c>
      <c r="F103" s="539">
        <v>60</v>
      </c>
      <c r="G103" s="561">
        <v>12.9</v>
      </c>
      <c r="H103" s="562">
        <v>1777</v>
      </c>
      <c r="I103" s="563">
        <v>11</v>
      </c>
      <c r="J103" s="974">
        <v>1177</v>
      </c>
      <c r="K103" s="374"/>
      <c r="L103" s="375"/>
      <c r="M103" s="925"/>
      <c r="N103" s="464">
        <v>0.1</v>
      </c>
      <c r="O103" s="90">
        <v>0.03</v>
      </c>
      <c r="P103" s="88">
        <v>0.02</v>
      </c>
      <c r="R103" s="140"/>
    </row>
    <row r="104" spans="1:18" s="75" customFormat="1" ht="56.45" customHeight="1" thickBot="1">
      <c r="A104" s="901"/>
      <c r="B104" s="463"/>
      <c r="C104" s="1044" t="s">
        <v>14</v>
      </c>
      <c r="D104" s="205"/>
      <c r="E104" s="691"/>
      <c r="F104" s="539">
        <v>60</v>
      </c>
      <c r="G104" s="561">
        <v>12.9</v>
      </c>
      <c r="H104" s="562">
        <v>1777</v>
      </c>
      <c r="I104" s="563">
        <v>11</v>
      </c>
      <c r="J104" s="974">
        <v>1319</v>
      </c>
      <c r="K104" s="374"/>
      <c r="L104" s="375"/>
      <c r="M104" s="925"/>
      <c r="N104" s="464">
        <v>0.15</v>
      </c>
      <c r="O104" s="90">
        <v>0.05</v>
      </c>
      <c r="P104" s="88">
        <v>0.03</v>
      </c>
      <c r="R104" s="140"/>
    </row>
    <row r="105" spans="1:18" s="75" customFormat="1" ht="56.45" customHeight="1" thickBot="1">
      <c r="A105" s="901"/>
      <c r="B105" s="461"/>
      <c r="C105" s="1044" t="s">
        <v>44</v>
      </c>
      <c r="D105" s="205"/>
      <c r="E105" s="691"/>
      <c r="F105" s="539">
        <v>60</v>
      </c>
      <c r="G105" s="561">
        <v>12.9</v>
      </c>
      <c r="H105" s="562">
        <v>1777</v>
      </c>
      <c r="I105" s="563">
        <v>11</v>
      </c>
      <c r="J105" s="974">
        <v>1319</v>
      </c>
      <c r="K105" s="374"/>
      <c r="L105" s="375"/>
      <c r="M105" s="925"/>
      <c r="N105" s="464">
        <v>0.15</v>
      </c>
      <c r="O105" s="90">
        <v>0.05</v>
      </c>
      <c r="P105" s="88">
        <v>0.03</v>
      </c>
      <c r="R105" s="140"/>
    </row>
    <row r="106" spans="1:18" s="75" customFormat="1" ht="56.45" customHeight="1" thickBot="1">
      <c r="A106" s="901"/>
      <c r="B106" s="461"/>
      <c r="C106" s="1044" t="s">
        <v>101</v>
      </c>
      <c r="D106" s="205"/>
      <c r="E106" s="691"/>
      <c r="F106" s="539">
        <v>60</v>
      </c>
      <c r="G106" s="561">
        <v>12.9</v>
      </c>
      <c r="H106" s="562">
        <v>1777</v>
      </c>
      <c r="I106" s="563">
        <v>11</v>
      </c>
      <c r="J106" s="974">
        <v>1837</v>
      </c>
      <c r="K106" s="374"/>
      <c r="L106" s="375"/>
      <c r="M106" s="925"/>
      <c r="N106" s="464">
        <v>0.3</v>
      </c>
      <c r="O106" s="90">
        <v>0.1</v>
      </c>
      <c r="P106" s="88">
        <v>0.04</v>
      </c>
      <c r="R106" s="140"/>
    </row>
    <row r="107" spans="1:18" s="75" customFormat="1" ht="56.45" customHeight="1" thickBot="1">
      <c r="A107" s="901"/>
      <c r="B107" s="461"/>
      <c r="C107" s="1044" t="s">
        <v>102</v>
      </c>
      <c r="D107" s="205"/>
      <c r="E107" s="691"/>
      <c r="F107" s="539">
        <v>60</v>
      </c>
      <c r="G107" s="561">
        <v>12.9</v>
      </c>
      <c r="H107" s="562">
        <v>1777</v>
      </c>
      <c r="I107" s="563">
        <v>11</v>
      </c>
      <c r="J107" s="974">
        <v>1837</v>
      </c>
      <c r="K107" s="374"/>
      <c r="L107" s="375"/>
      <c r="M107" s="925"/>
      <c r="N107" s="464">
        <v>0.3</v>
      </c>
      <c r="O107" s="90">
        <v>0.1</v>
      </c>
      <c r="P107" s="88">
        <v>0.04</v>
      </c>
      <c r="R107" s="140"/>
    </row>
    <row r="108" spans="1:18" s="75" customFormat="1" ht="56.45" customHeight="1" thickBot="1">
      <c r="A108" s="901"/>
      <c r="B108" s="461"/>
      <c r="C108" s="1044" t="s">
        <v>103</v>
      </c>
      <c r="D108" s="205"/>
      <c r="E108" s="691"/>
      <c r="F108" s="539">
        <v>60</v>
      </c>
      <c r="G108" s="561">
        <v>12.9</v>
      </c>
      <c r="H108" s="562">
        <v>1777</v>
      </c>
      <c r="I108" s="563">
        <v>11</v>
      </c>
      <c r="J108" s="974">
        <v>1837</v>
      </c>
      <c r="K108" s="374"/>
      <c r="L108" s="375"/>
      <c r="M108" s="925"/>
      <c r="N108" s="464">
        <v>0.3</v>
      </c>
      <c r="O108" s="90">
        <v>0.1</v>
      </c>
      <c r="P108" s="88">
        <v>0.04</v>
      </c>
      <c r="R108" s="140"/>
    </row>
    <row r="109" spans="1:18" s="75" customFormat="1" ht="56.45" customHeight="1" thickBot="1">
      <c r="A109" s="901"/>
      <c r="B109" s="461"/>
      <c r="C109" s="1044" t="s">
        <v>100</v>
      </c>
      <c r="D109" s="205"/>
      <c r="E109" s="691"/>
      <c r="F109" s="539">
        <v>60</v>
      </c>
      <c r="G109" s="561">
        <v>12.9</v>
      </c>
      <c r="H109" s="562">
        <v>1777</v>
      </c>
      <c r="I109" s="563">
        <v>11</v>
      </c>
      <c r="J109" s="974">
        <v>1837</v>
      </c>
      <c r="K109" s="374"/>
      <c r="L109" s="375"/>
      <c r="M109" s="925"/>
      <c r="N109" s="464">
        <v>0.3</v>
      </c>
      <c r="O109" s="90">
        <v>0.1</v>
      </c>
      <c r="P109" s="88">
        <v>0.04</v>
      </c>
      <c r="R109" s="140"/>
    </row>
    <row r="110" spans="1:18" s="75" customFormat="1" ht="56.45" customHeight="1" thickBot="1">
      <c r="A110" s="901"/>
      <c r="B110" s="461"/>
      <c r="C110" s="1044" t="s">
        <v>99</v>
      </c>
      <c r="D110" s="205"/>
      <c r="E110" s="691"/>
      <c r="F110" s="539">
        <v>60</v>
      </c>
      <c r="G110" s="561">
        <v>12.9</v>
      </c>
      <c r="H110" s="562">
        <v>1777</v>
      </c>
      <c r="I110" s="563">
        <v>11</v>
      </c>
      <c r="J110" s="974">
        <v>1837</v>
      </c>
      <c r="K110" s="374"/>
      <c r="L110" s="375"/>
      <c r="M110" s="925"/>
      <c r="N110" s="464">
        <v>0.3</v>
      </c>
      <c r="O110" s="90">
        <v>0.1</v>
      </c>
      <c r="P110" s="88">
        <v>0.04</v>
      </c>
      <c r="R110" s="140"/>
    </row>
    <row r="111" spans="1:18" s="75" customFormat="1" ht="56.45" customHeight="1" thickBot="1">
      <c r="A111" s="901"/>
      <c r="B111" s="461"/>
      <c r="C111" s="1044" t="s">
        <v>109</v>
      </c>
      <c r="D111" s="205"/>
      <c r="E111" s="691"/>
      <c r="F111" s="539">
        <v>60</v>
      </c>
      <c r="G111" s="561">
        <v>12.9</v>
      </c>
      <c r="H111" s="562">
        <v>1777</v>
      </c>
      <c r="I111" s="563">
        <v>11</v>
      </c>
      <c r="J111" s="974">
        <v>1837</v>
      </c>
      <c r="K111" s="374"/>
      <c r="L111" s="375"/>
      <c r="M111" s="925"/>
      <c r="N111" s="464">
        <v>0.3</v>
      </c>
      <c r="O111" s="90">
        <v>0.1</v>
      </c>
      <c r="P111" s="88">
        <v>0.04</v>
      </c>
      <c r="R111" s="140"/>
    </row>
    <row r="112" spans="1:18" s="75" customFormat="1" ht="56.45" customHeight="1" thickBot="1">
      <c r="A112" s="901"/>
      <c r="B112" s="461"/>
      <c r="C112" s="1044" t="s">
        <v>97</v>
      </c>
      <c r="D112" s="205"/>
      <c r="E112" s="691"/>
      <c r="F112" s="539">
        <v>60</v>
      </c>
      <c r="G112" s="561">
        <v>12.9</v>
      </c>
      <c r="H112" s="562">
        <v>1777</v>
      </c>
      <c r="I112" s="563">
        <v>11</v>
      </c>
      <c r="J112" s="974">
        <v>1837</v>
      </c>
      <c r="K112" s="374"/>
      <c r="L112" s="375"/>
      <c r="M112" s="925"/>
      <c r="N112" s="464">
        <v>0.3</v>
      </c>
      <c r="O112" s="90">
        <v>0.1</v>
      </c>
      <c r="P112" s="88">
        <v>0.04</v>
      </c>
      <c r="R112" s="140"/>
    </row>
    <row r="113" spans="1:18" s="75" customFormat="1" ht="56.45" customHeight="1" thickBot="1">
      <c r="A113" s="901"/>
      <c r="B113" s="461"/>
      <c r="C113" s="1044" t="s">
        <v>96</v>
      </c>
      <c r="D113" s="205"/>
      <c r="E113" s="691"/>
      <c r="F113" s="539">
        <v>60</v>
      </c>
      <c r="G113" s="561">
        <v>12.9</v>
      </c>
      <c r="H113" s="562">
        <v>1777</v>
      </c>
      <c r="I113" s="563">
        <v>11</v>
      </c>
      <c r="J113" s="974">
        <v>1837</v>
      </c>
      <c r="K113" s="374"/>
      <c r="L113" s="375"/>
      <c r="M113" s="925"/>
      <c r="N113" s="464">
        <v>0.3</v>
      </c>
      <c r="O113" s="90">
        <v>0.1</v>
      </c>
      <c r="P113" s="88">
        <v>0.04</v>
      </c>
      <c r="R113" s="140"/>
    </row>
    <row r="114" spans="1:18" s="75" customFormat="1" ht="56.45" customHeight="1" thickBot="1">
      <c r="A114" s="901"/>
      <c r="B114" s="461"/>
      <c r="C114" s="1044" t="s">
        <v>93</v>
      </c>
      <c r="D114" s="205"/>
      <c r="E114" s="691"/>
      <c r="F114" s="539">
        <v>60</v>
      </c>
      <c r="G114" s="561">
        <v>12.9</v>
      </c>
      <c r="H114" s="562">
        <v>1777</v>
      </c>
      <c r="I114" s="563">
        <v>11</v>
      </c>
      <c r="J114" s="974">
        <v>1837</v>
      </c>
      <c r="K114" s="374"/>
      <c r="L114" s="375"/>
      <c r="M114" s="925"/>
      <c r="N114" s="464">
        <v>0.3</v>
      </c>
      <c r="O114" s="90">
        <v>0.1</v>
      </c>
      <c r="P114" s="88">
        <v>0.04</v>
      </c>
      <c r="R114" s="140"/>
    </row>
    <row r="115" spans="1:18" s="75" customFormat="1" ht="56.45" customHeight="1" thickBot="1">
      <c r="A115" s="901"/>
      <c r="B115" s="461"/>
      <c r="C115" s="1044" t="s">
        <v>94</v>
      </c>
      <c r="D115" s="205"/>
      <c r="E115" s="691"/>
      <c r="F115" s="539">
        <v>60</v>
      </c>
      <c r="G115" s="561">
        <v>12.9</v>
      </c>
      <c r="H115" s="562">
        <v>1777</v>
      </c>
      <c r="I115" s="563">
        <v>11</v>
      </c>
      <c r="J115" s="974">
        <v>1837</v>
      </c>
      <c r="K115" s="374"/>
      <c r="L115" s="375"/>
      <c r="M115" s="925"/>
      <c r="N115" s="464">
        <v>0.3</v>
      </c>
      <c r="O115" s="90">
        <v>0.1</v>
      </c>
      <c r="P115" s="88">
        <v>0.04</v>
      </c>
      <c r="R115" s="140"/>
    </row>
    <row r="116" spans="1:18" s="75" customFormat="1" ht="56.45" customHeight="1" thickBot="1">
      <c r="A116" s="901"/>
      <c r="B116" s="461"/>
      <c r="C116" s="1044" t="s">
        <v>112</v>
      </c>
      <c r="D116" s="205"/>
      <c r="E116" s="691"/>
      <c r="F116" s="539">
        <v>60</v>
      </c>
      <c r="G116" s="561">
        <v>12.9</v>
      </c>
      <c r="H116" s="562">
        <v>1777</v>
      </c>
      <c r="I116" s="563">
        <v>11</v>
      </c>
      <c r="J116" s="974">
        <v>1837</v>
      </c>
      <c r="K116" s="374"/>
      <c r="L116" s="375"/>
      <c r="M116" s="925"/>
      <c r="N116" s="464">
        <v>0.3</v>
      </c>
      <c r="O116" s="90">
        <v>0.1</v>
      </c>
      <c r="P116" s="88">
        <v>0.04</v>
      </c>
      <c r="R116" s="140"/>
    </row>
    <row r="117" spans="1:18" s="75" customFormat="1" ht="56.45" customHeight="1" thickBot="1">
      <c r="A117" s="901"/>
      <c r="B117" s="461"/>
      <c r="C117" s="1044" t="s">
        <v>160</v>
      </c>
      <c r="D117" s="205"/>
      <c r="E117" s="691"/>
      <c r="F117" s="539">
        <v>60</v>
      </c>
      <c r="G117" s="561">
        <v>12.9</v>
      </c>
      <c r="H117" s="562">
        <v>1777</v>
      </c>
      <c r="I117" s="563">
        <v>11</v>
      </c>
      <c r="J117" s="974">
        <v>1837</v>
      </c>
      <c r="K117" s="374"/>
      <c r="L117" s="375"/>
      <c r="M117" s="925"/>
      <c r="N117" s="464">
        <v>0.3</v>
      </c>
      <c r="O117" s="90">
        <v>0.1</v>
      </c>
      <c r="P117" s="88">
        <v>0.04</v>
      </c>
      <c r="R117" s="140"/>
    </row>
    <row r="118" spans="1:18" s="75" customFormat="1" ht="56.45" customHeight="1" thickBot="1">
      <c r="A118" s="901"/>
      <c r="B118" s="461"/>
      <c r="C118" s="1044" t="s">
        <v>133</v>
      </c>
      <c r="D118" s="205"/>
      <c r="E118" s="691"/>
      <c r="F118" s="539">
        <v>60</v>
      </c>
      <c r="G118" s="561">
        <v>12.9</v>
      </c>
      <c r="H118" s="562">
        <v>1777</v>
      </c>
      <c r="I118" s="563">
        <v>11</v>
      </c>
      <c r="J118" s="974">
        <v>1837</v>
      </c>
      <c r="K118" s="374"/>
      <c r="L118" s="375"/>
      <c r="M118" s="925"/>
      <c r="N118" s="464">
        <v>0.3</v>
      </c>
      <c r="O118" s="90">
        <v>0.1</v>
      </c>
      <c r="P118" s="88">
        <v>0.04</v>
      </c>
      <c r="R118" s="140"/>
    </row>
    <row r="119" spans="1:18" s="75" customFormat="1" ht="56.45" customHeight="1" thickBot="1">
      <c r="A119" s="902"/>
      <c r="B119" s="461"/>
      <c r="C119" s="1044" t="s">
        <v>95</v>
      </c>
      <c r="D119" s="205"/>
      <c r="E119" s="692"/>
      <c r="F119" s="539">
        <v>60</v>
      </c>
      <c r="G119" s="561">
        <v>12.9</v>
      </c>
      <c r="H119" s="562">
        <v>1777</v>
      </c>
      <c r="I119" s="563">
        <v>11</v>
      </c>
      <c r="J119" s="967">
        <v>1837</v>
      </c>
      <c r="K119" s="374"/>
      <c r="L119" s="375"/>
      <c r="M119" s="925"/>
      <c r="N119" s="464">
        <v>0.3</v>
      </c>
      <c r="O119" s="90">
        <v>0.1</v>
      </c>
      <c r="P119" s="88">
        <v>0.04</v>
      </c>
      <c r="R119" s="140"/>
    </row>
    <row r="120" spans="1:18" ht="16.5" customHeight="1" thickBot="1">
      <c r="A120" s="881" t="s">
        <v>57</v>
      </c>
      <c r="B120" s="608"/>
      <c r="C120" s="608"/>
      <c r="D120" s="608"/>
      <c r="E120" s="608"/>
      <c r="F120" s="608"/>
      <c r="G120" s="608"/>
      <c r="H120" s="608"/>
      <c r="I120" s="608"/>
      <c r="J120" s="715"/>
      <c r="K120" s="374"/>
      <c r="L120" s="375">
        <v>0</v>
      </c>
      <c r="M120" s="906"/>
      <c r="N120" s="10" t="e">
        <v>#DIV/0!</v>
      </c>
      <c r="O120" s="11" t="e">
        <v>#DIV/0!</v>
      </c>
      <c r="P120" s="9" t="e">
        <v>#DIV/0!</v>
      </c>
      <c r="R120" s="70"/>
    </row>
    <row r="121" spans="1:18" ht="45.75" customHeight="1" thickBot="1">
      <c r="A121" s="900">
        <v>12</v>
      </c>
      <c r="B121" s="191"/>
      <c r="C121" s="1045" t="s">
        <v>100</v>
      </c>
      <c r="D121" s="101" t="s">
        <v>78</v>
      </c>
      <c r="E121" s="728" t="s">
        <v>58</v>
      </c>
      <c r="F121" s="690">
        <v>40</v>
      </c>
      <c r="G121" s="524">
        <v>20.74</v>
      </c>
      <c r="H121" s="525">
        <v>1903</v>
      </c>
      <c r="I121" s="526">
        <v>10</v>
      </c>
      <c r="J121" s="527">
        <v>1498</v>
      </c>
      <c r="K121" s="374"/>
      <c r="L121" s="375"/>
      <c r="M121" s="919"/>
      <c r="N121" s="89">
        <v>0.3</v>
      </c>
      <c r="O121" s="90">
        <v>0.1</v>
      </c>
      <c r="P121" s="88">
        <v>0.04</v>
      </c>
      <c r="Q121" s="75"/>
      <c r="R121" s="140">
        <f>939*1.1</f>
        <v>1032.9000000000001</v>
      </c>
    </row>
    <row r="122" spans="1:18" ht="45.75" customHeight="1" thickBot="1">
      <c r="A122" s="901"/>
      <c r="B122" s="191"/>
      <c r="C122" s="1046" t="s">
        <v>101</v>
      </c>
      <c r="D122" s="101" t="s">
        <v>78</v>
      </c>
      <c r="E122" s="728"/>
      <c r="F122" s="691"/>
      <c r="G122" s="524">
        <v>20.74</v>
      </c>
      <c r="H122" s="525">
        <v>1903</v>
      </c>
      <c r="I122" s="526">
        <v>10</v>
      </c>
      <c r="J122" s="527">
        <v>1498</v>
      </c>
      <c r="K122" s="374"/>
      <c r="L122" s="375"/>
      <c r="M122" s="919"/>
      <c r="N122" s="89">
        <v>0.3</v>
      </c>
      <c r="O122" s="90">
        <v>0.1</v>
      </c>
      <c r="P122" s="88">
        <v>0.04</v>
      </c>
      <c r="Q122" s="75"/>
      <c r="R122" s="140">
        <f>939*1.1</f>
        <v>1032.9000000000001</v>
      </c>
    </row>
    <row r="123" spans="1:18" ht="45.75" customHeight="1" thickBot="1">
      <c r="A123" s="901"/>
      <c r="B123" s="191"/>
      <c r="C123" s="1046" t="s">
        <v>92</v>
      </c>
      <c r="D123" s="101" t="s">
        <v>78</v>
      </c>
      <c r="E123" s="728"/>
      <c r="F123" s="691"/>
      <c r="G123" s="524">
        <v>20.74</v>
      </c>
      <c r="H123" s="525">
        <v>1903</v>
      </c>
      <c r="I123" s="526">
        <v>10</v>
      </c>
      <c r="J123" s="527">
        <v>1498</v>
      </c>
      <c r="K123" s="374"/>
      <c r="L123" s="375"/>
      <c r="M123" s="919"/>
      <c r="N123" s="89">
        <v>0.3</v>
      </c>
      <c r="O123" s="90">
        <v>0.1</v>
      </c>
      <c r="P123" s="88">
        <v>0.04</v>
      </c>
      <c r="Q123" s="75"/>
      <c r="R123" s="140">
        <f>939*1.1</f>
        <v>1032.9000000000001</v>
      </c>
    </row>
    <row r="124" spans="1:18" s="75" customFormat="1" ht="45.75" customHeight="1" thickBot="1">
      <c r="A124" s="901"/>
      <c r="B124" s="162"/>
      <c r="C124" s="1046" t="s">
        <v>154</v>
      </c>
      <c r="D124" s="101" t="s">
        <v>78</v>
      </c>
      <c r="E124" s="728"/>
      <c r="F124" s="691"/>
      <c r="G124" s="524">
        <v>20.74</v>
      </c>
      <c r="H124" s="525">
        <v>1903</v>
      </c>
      <c r="I124" s="526">
        <v>10</v>
      </c>
      <c r="J124" s="527">
        <v>1498</v>
      </c>
      <c r="K124" s="374"/>
      <c r="L124" s="375"/>
      <c r="M124" s="919"/>
      <c r="N124" s="89">
        <v>0.3</v>
      </c>
      <c r="O124" s="90">
        <v>0.1</v>
      </c>
      <c r="P124" s="88">
        <v>0.04</v>
      </c>
      <c r="R124" s="140"/>
    </row>
    <row r="125" spans="1:18" ht="46.5" customHeight="1" thickBot="1">
      <c r="A125" s="901"/>
      <c r="B125" s="162"/>
      <c r="C125" s="1046" t="s">
        <v>68</v>
      </c>
      <c r="D125" s="460" t="s">
        <v>78</v>
      </c>
      <c r="E125" s="728"/>
      <c r="F125" s="691"/>
      <c r="G125" s="524">
        <v>20.74</v>
      </c>
      <c r="H125" s="525">
        <v>1903</v>
      </c>
      <c r="I125" s="526">
        <v>10</v>
      </c>
      <c r="J125" s="527">
        <v>1498</v>
      </c>
      <c r="K125" s="374"/>
      <c r="L125" s="375">
        <v>782.2</v>
      </c>
      <c r="M125" s="926">
        <v>896</v>
      </c>
      <c r="N125" s="89">
        <v>0.3</v>
      </c>
      <c r="O125" s="90">
        <v>0.1</v>
      </c>
      <c r="P125" s="88">
        <v>0.04</v>
      </c>
      <c r="R125" s="70">
        <f>939*1.1</f>
        <v>1032.9000000000001</v>
      </c>
    </row>
    <row r="126" spans="1:18" s="75" customFormat="1" ht="46.5" customHeight="1" thickBot="1">
      <c r="A126" s="902"/>
      <c r="B126" s="459"/>
      <c r="C126" s="1047" t="s">
        <v>160</v>
      </c>
      <c r="D126" s="460" t="s">
        <v>78</v>
      </c>
      <c r="E126" s="528"/>
      <c r="F126" s="692"/>
      <c r="G126" s="524">
        <v>20.74</v>
      </c>
      <c r="H126" s="525">
        <v>1903</v>
      </c>
      <c r="I126" s="526">
        <v>10</v>
      </c>
      <c r="J126" s="527">
        <v>1498</v>
      </c>
      <c r="K126" s="374"/>
      <c r="L126" s="375"/>
      <c r="M126" s="925"/>
      <c r="N126" s="89">
        <v>0.3</v>
      </c>
      <c r="O126" s="90">
        <v>0.1</v>
      </c>
      <c r="P126" s="88">
        <v>0.04</v>
      </c>
      <c r="R126" s="140"/>
    </row>
    <row r="127" spans="1:18" ht="17.25" customHeight="1" thickBot="1">
      <c r="A127" s="735" t="s">
        <v>121</v>
      </c>
      <c r="B127" s="735"/>
      <c r="C127" s="735"/>
      <c r="D127" s="735"/>
      <c r="E127" s="735"/>
      <c r="F127" s="735"/>
      <c r="G127" s="735"/>
      <c r="H127" s="735"/>
      <c r="I127" s="735"/>
      <c r="J127" s="736"/>
      <c r="K127" s="374"/>
      <c r="L127" s="375"/>
      <c r="M127" s="925"/>
      <c r="N127" s="10"/>
      <c r="O127" s="90"/>
      <c r="P127" s="9"/>
      <c r="R127" s="70"/>
    </row>
    <row r="128" spans="1:18" ht="50.25" customHeight="1" thickBot="1">
      <c r="A128" s="890">
        <v>13</v>
      </c>
      <c r="B128" s="258"/>
      <c r="C128" s="1045" t="s">
        <v>101</v>
      </c>
      <c r="D128" s="96" t="s">
        <v>78</v>
      </c>
      <c r="E128" s="712" t="s">
        <v>122</v>
      </c>
      <c r="F128" s="690">
        <v>60</v>
      </c>
      <c r="G128" s="529">
        <v>13.18</v>
      </c>
      <c r="H128" s="530">
        <v>1815</v>
      </c>
      <c r="I128" s="531">
        <v>11</v>
      </c>
      <c r="J128" s="981">
        <v>1892</v>
      </c>
      <c r="K128" s="374"/>
      <c r="L128" s="375"/>
      <c r="M128" s="925"/>
      <c r="N128" s="10"/>
      <c r="O128" s="11"/>
      <c r="P128" s="9"/>
      <c r="R128" s="70">
        <f>967*1.1</f>
        <v>1063.7</v>
      </c>
    </row>
    <row r="129" spans="1:18" ht="49.5" customHeight="1" thickBot="1">
      <c r="A129" s="897"/>
      <c r="B129" s="259"/>
      <c r="C129" s="1047" t="s">
        <v>92</v>
      </c>
      <c r="D129" s="96" t="s">
        <v>78</v>
      </c>
      <c r="E129" s="713"/>
      <c r="F129" s="692"/>
      <c r="G129" s="532">
        <v>13.18</v>
      </c>
      <c r="H129" s="533">
        <v>1815</v>
      </c>
      <c r="I129" s="534">
        <v>11</v>
      </c>
      <c r="J129" s="981">
        <v>1892</v>
      </c>
      <c r="K129" s="374"/>
      <c r="L129" s="375"/>
      <c r="M129" s="925"/>
      <c r="N129" s="10"/>
      <c r="O129" s="11"/>
      <c r="P129" s="9"/>
      <c r="R129" s="70"/>
    </row>
    <row r="130" spans="1:18" s="75" customFormat="1" ht="25.15" customHeight="1" thickBot="1">
      <c r="A130" s="898" t="s">
        <v>155</v>
      </c>
      <c r="B130" s="693"/>
      <c r="C130" s="693"/>
      <c r="D130" s="693"/>
      <c r="E130" s="693"/>
      <c r="F130" s="702"/>
      <c r="G130" s="702"/>
      <c r="H130" s="702"/>
      <c r="I130" s="702"/>
      <c r="J130" s="695"/>
      <c r="K130" s="374"/>
      <c r="L130" s="375"/>
      <c r="M130" s="925"/>
      <c r="N130" s="89"/>
      <c r="O130" s="90"/>
      <c r="P130" s="88"/>
      <c r="R130" s="140"/>
    </row>
    <row r="131" spans="1:18" s="75" customFormat="1" ht="49.5" customHeight="1" thickBot="1">
      <c r="A131" s="900">
        <v>14</v>
      </c>
      <c r="B131" s="312"/>
      <c r="C131" s="1045" t="s">
        <v>101</v>
      </c>
      <c r="D131" s="96" t="s">
        <v>78</v>
      </c>
      <c r="E131" s="703" t="s">
        <v>156</v>
      </c>
      <c r="F131" s="729">
        <v>60</v>
      </c>
      <c r="G131" s="530">
        <v>12.9</v>
      </c>
      <c r="H131" s="530">
        <v>1761</v>
      </c>
      <c r="I131" s="531">
        <v>11</v>
      </c>
      <c r="J131" s="981">
        <v>1837</v>
      </c>
      <c r="K131" s="374"/>
      <c r="L131" s="375"/>
      <c r="M131" s="925"/>
      <c r="N131" s="89"/>
      <c r="O131" s="90"/>
      <c r="P131" s="88"/>
      <c r="R131" s="140"/>
    </row>
    <row r="132" spans="1:18" s="75" customFormat="1" ht="49.5" customHeight="1" thickBot="1">
      <c r="A132" s="901"/>
      <c r="B132" s="481"/>
      <c r="C132" s="1022" t="s">
        <v>91</v>
      </c>
      <c r="D132" s="96" t="s">
        <v>78</v>
      </c>
      <c r="E132" s="704"/>
      <c r="F132" s="730"/>
      <c r="G132" s="525">
        <v>12.9</v>
      </c>
      <c r="H132" s="525">
        <v>1761</v>
      </c>
      <c r="I132" s="526">
        <v>11</v>
      </c>
      <c r="J132" s="982">
        <v>1837</v>
      </c>
      <c r="K132" s="374"/>
      <c r="L132" s="375"/>
      <c r="M132" s="925"/>
      <c r="N132" s="89"/>
      <c r="O132" s="90"/>
      <c r="P132" s="88"/>
      <c r="R132" s="140"/>
    </row>
    <row r="133" spans="1:18" s="75" customFormat="1" ht="49.5" customHeight="1" thickBot="1">
      <c r="A133" s="902"/>
      <c r="B133" s="481"/>
      <c r="C133" s="1023" t="s">
        <v>131</v>
      </c>
      <c r="D133" s="154" t="s">
        <v>78</v>
      </c>
      <c r="E133" s="705"/>
      <c r="F133" s="731"/>
      <c r="G133" s="533">
        <v>12.9</v>
      </c>
      <c r="H133" s="533">
        <v>1761</v>
      </c>
      <c r="I133" s="534">
        <v>11</v>
      </c>
      <c r="J133" s="982">
        <v>1837</v>
      </c>
      <c r="K133" s="374"/>
      <c r="L133" s="375"/>
      <c r="M133" s="925"/>
      <c r="N133" s="89"/>
      <c r="O133" s="90"/>
      <c r="P133" s="88"/>
      <c r="R133" s="140"/>
    </row>
    <row r="134" spans="1:18" s="75" customFormat="1" ht="18" customHeight="1" thickBot="1">
      <c r="A134" s="898" t="s">
        <v>150</v>
      </c>
      <c r="B134" s="693"/>
      <c r="C134" s="693"/>
      <c r="D134" s="693"/>
      <c r="E134" s="693"/>
      <c r="F134" s="694"/>
      <c r="G134" s="694"/>
      <c r="H134" s="694"/>
      <c r="I134" s="694"/>
      <c r="J134" s="695"/>
      <c r="K134" s="374"/>
      <c r="L134" s="375"/>
      <c r="M134" s="925"/>
      <c r="N134" s="89"/>
      <c r="O134" s="90"/>
      <c r="P134" s="88"/>
      <c r="R134" s="140"/>
    </row>
    <row r="135" spans="1:18" s="75" customFormat="1" ht="49.9" customHeight="1" thickBot="1">
      <c r="A135" s="890">
        <v>15</v>
      </c>
      <c r="B135" s="421"/>
      <c r="C135" s="1007" t="s">
        <v>86</v>
      </c>
      <c r="D135" s="101" t="s">
        <v>78</v>
      </c>
      <c r="E135" s="539" t="s">
        <v>40</v>
      </c>
      <c r="F135" s="535">
        <v>60</v>
      </c>
      <c r="G135" s="494">
        <v>12.24</v>
      </c>
      <c r="H135" s="494">
        <v>1650</v>
      </c>
      <c r="I135" s="983">
        <v>12</v>
      </c>
      <c r="J135" s="981">
        <v>1837</v>
      </c>
      <c r="K135" s="374"/>
      <c r="L135" s="375"/>
      <c r="M135" s="925"/>
      <c r="N135" s="89"/>
      <c r="O135" s="90"/>
      <c r="P135" s="88"/>
      <c r="R135" s="140"/>
    </row>
    <row r="136" spans="1:18" s="75" customFormat="1" ht="49.9" customHeight="1" thickBot="1">
      <c r="A136" s="892"/>
      <c r="B136" s="453"/>
      <c r="C136" s="1014" t="s">
        <v>93</v>
      </c>
      <c r="D136" s="101" t="s">
        <v>78</v>
      </c>
      <c r="E136" s="542" t="s">
        <v>40</v>
      </c>
      <c r="F136" s="536">
        <v>60</v>
      </c>
      <c r="G136" s="537">
        <v>12.24</v>
      </c>
      <c r="H136" s="537">
        <v>1650</v>
      </c>
      <c r="I136" s="984">
        <v>12</v>
      </c>
      <c r="J136" s="982">
        <v>1837</v>
      </c>
      <c r="K136" s="374"/>
      <c r="L136" s="375"/>
      <c r="M136" s="925"/>
      <c r="N136" s="89"/>
      <c r="O136" s="90"/>
      <c r="P136" s="88"/>
      <c r="R136" s="140"/>
    </row>
    <row r="137" spans="1:18" s="75" customFormat="1" ht="49.9" customHeight="1" thickBot="1">
      <c r="A137" s="892"/>
      <c r="B137" s="453"/>
      <c r="C137" s="1014" t="s">
        <v>85</v>
      </c>
      <c r="D137" s="101" t="s">
        <v>78</v>
      </c>
      <c r="E137" s="542" t="s">
        <v>40</v>
      </c>
      <c r="F137" s="536">
        <v>60</v>
      </c>
      <c r="G137" s="537">
        <v>12.24</v>
      </c>
      <c r="H137" s="537">
        <v>1650</v>
      </c>
      <c r="I137" s="984">
        <v>12</v>
      </c>
      <c r="J137" s="982">
        <v>1837</v>
      </c>
      <c r="K137" s="374"/>
      <c r="L137" s="375"/>
      <c r="M137" s="925"/>
      <c r="N137" s="89"/>
      <c r="O137" s="90"/>
      <c r="P137" s="88"/>
      <c r="R137" s="140"/>
    </row>
    <row r="138" spans="1:18" s="75" customFormat="1" ht="49.9" customHeight="1" thickBot="1">
      <c r="A138" s="897"/>
      <c r="B138" s="454"/>
      <c r="C138" s="1015" t="s">
        <v>68</v>
      </c>
      <c r="D138" s="101" t="s">
        <v>78</v>
      </c>
      <c r="E138" s="545" t="s">
        <v>40</v>
      </c>
      <c r="F138" s="538">
        <v>60</v>
      </c>
      <c r="G138" s="496">
        <v>12.24</v>
      </c>
      <c r="H138" s="496">
        <v>1650</v>
      </c>
      <c r="I138" s="985">
        <v>12</v>
      </c>
      <c r="J138" s="982">
        <v>1837</v>
      </c>
      <c r="K138" s="374"/>
      <c r="L138" s="375"/>
      <c r="M138" s="925"/>
      <c r="N138" s="89"/>
      <c r="O138" s="90"/>
      <c r="P138" s="88"/>
      <c r="R138" s="140"/>
    </row>
    <row r="139" spans="1:18" ht="15.75" customHeight="1" thickBot="1">
      <c r="A139" s="881" t="s">
        <v>34</v>
      </c>
      <c r="B139" s="608"/>
      <c r="C139" s="608"/>
      <c r="D139" s="608"/>
      <c r="E139" s="608"/>
      <c r="F139" s="608"/>
      <c r="G139" s="608"/>
      <c r="H139" s="608"/>
      <c r="I139" s="608"/>
      <c r="J139" s="715"/>
      <c r="K139" s="374"/>
      <c r="L139" s="375">
        <v>0</v>
      </c>
      <c r="M139" s="927"/>
      <c r="N139" s="10" t="e">
        <v>#DIV/0!</v>
      </c>
      <c r="O139" s="11" t="e">
        <v>#DIV/0!</v>
      </c>
      <c r="P139" s="9" t="e">
        <v>#DIV/0!</v>
      </c>
      <c r="Q139" s="268"/>
      <c r="R139" s="70"/>
    </row>
    <row r="140" spans="1:18" ht="19.5" customHeight="1">
      <c r="A140" s="892">
        <v>16</v>
      </c>
      <c r="B140" s="716"/>
      <c r="C140" s="1048" t="s">
        <v>6</v>
      </c>
      <c r="D140" s="190" t="s">
        <v>78</v>
      </c>
      <c r="E140" s="586" t="s">
        <v>42</v>
      </c>
      <c r="F140" s="539">
        <v>40</v>
      </c>
      <c r="G140" s="540">
        <v>19.440000000000001</v>
      </c>
      <c r="H140" s="541">
        <v>1781</v>
      </c>
      <c r="I140" s="577">
        <v>11</v>
      </c>
      <c r="J140" s="967">
        <v>987</v>
      </c>
      <c r="K140" s="374"/>
      <c r="L140" s="375">
        <v>361.02</v>
      </c>
      <c r="M140" s="905">
        <v>406</v>
      </c>
      <c r="N140" s="10">
        <v>0.1</v>
      </c>
      <c r="O140" s="11">
        <v>0.03</v>
      </c>
      <c r="P140" s="9">
        <v>0.02</v>
      </c>
      <c r="R140" s="70">
        <f>434*1.1</f>
        <v>477.40000000000003</v>
      </c>
    </row>
    <row r="141" spans="1:18" ht="19.5" customHeight="1">
      <c r="A141" s="892"/>
      <c r="B141" s="716"/>
      <c r="C141" s="1048"/>
      <c r="D141" s="261" t="s">
        <v>78</v>
      </c>
      <c r="E141" s="587"/>
      <c r="F141" s="542">
        <v>60</v>
      </c>
      <c r="G141" s="543">
        <v>12.96</v>
      </c>
      <c r="H141" s="544">
        <v>1785</v>
      </c>
      <c r="I141" s="578">
        <v>11</v>
      </c>
      <c r="J141" s="967">
        <v>1130</v>
      </c>
      <c r="K141" s="374"/>
      <c r="L141" s="375">
        <v>433.9</v>
      </c>
      <c r="M141" s="905">
        <v>488</v>
      </c>
      <c r="N141" s="10">
        <v>0.1</v>
      </c>
      <c r="O141" s="11">
        <v>0.03</v>
      </c>
      <c r="P141" s="9">
        <v>0.02</v>
      </c>
      <c r="R141" s="70">
        <f>521*1.1</f>
        <v>573.1</v>
      </c>
    </row>
    <row r="142" spans="1:18" ht="20.25" customHeight="1" thickBot="1">
      <c r="A142" s="892"/>
      <c r="B142" s="716"/>
      <c r="C142" s="1048"/>
      <c r="D142" s="347"/>
      <c r="E142" s="588"/>
      <c r="F142" s="545">
        <v>80</v>
      </c>
      <c r="G142" s="546">
        <v>10.8</v>
      </c>
      <c r="H142" s="547">
        <v>1982</v>
      </c>
      <c r="I142" s="986">
        <v>10</v>
      </c>
      <c r="J142" s="974">
        <v>1367</v>
      </c>
      <c r="K142" s="374"/>
      <c r="L142" s="375">
        <v>523.73</v>
      </c>
      <c r="M142" s="926">
        <v>589</v>
      </c>
      <c r="N142" s="10">
        <v>0.1</v>
      </c>
      <c r="O142" s="11">
        <v>0.03</v>
      </c>
      <c r="P142" s="9">
        <v>0.02</v>
      </c>
      <c r="R142" s="70">
        <f>629*1.1</f>
        <v>691.90000000000009</v>
      </c>
    </row>
    <row r="143" spans="1:18" s="75" customFormat="1" ht="30.75" customHeight="1" thickBot="1">
      <c r="A143" s="892"/>
      <c r="B143" s="473"/>
      <c r="C143" s="1032"/>
      <c r="D143" s="205"/>
      <c r="E143" s="548" t="s">
        <v>20</v>
      </c>
      <c r="F143" s="548">
        <v>70</v>
      </c>
      <c r="G143" s="574">
        <v>12.67</v>
      </c>
      <c r="H143" s="549">
        <v>2046</v>
      </c>
      <c r="I143" s="987">
        <v>9</v>
      </c>
      <c r="J143" s="990">
        <v>1236</v>
      </c>
      <c r="K143" s="374"/>
      <c r="L143" s="375"/>
      <c r="M143" s="926"/>
      <c r="N143" s="89"/>
      <c r="O143" s="90"/>
      <c r="P143" s="88">
        <v>0.02</v>
      </c>
      <c r="R143" s="140"/>
    </row>
    <row r="144" spans="1:18" ht="30" customHeight="1">
      <c r="A144" s="892"/>
      <c r="B144" s="589"/>
      <c r="C144" s="1049" t="s">
        <v>38</v>
      </c>
      <c r="D144" s="190" t="s">
        <v>78</v>
      </c>
      <c r="E144" s="586" t="s">
        <v>42</v>
      </c>
      <c r="F144" s="539">
        <v>40</v>
      </c>
      <c r="G144" s="540">
        <v>19.440000000000001</v>
      </c>
      <c r="H144" s="541">
        <v>1781</v>
      </c>
      <c r="I144" s="577">
        <v>11</v>
      </c>
      <c r="J144" s="975">
        <v>1130</v>
      </c>
      <c r="K144" s="374"/>
      <c r="L144" s="375">
        <v>407.63</v>
      </c>
      <c r="M144" s="905">
        <v>458</v>
      </c>
      <c r="N144" s="10">
        <v>0.15</v>
      </c>
      <c r="O144" s="11">
        <v>0.05</v>
      </c>
      <c r="P144" s="9">
        <v>0.03</v>
      </c>
      <c r="R144" s="70">
        <f>490*1.1</f>
        <v>539</v>
      </c>
    </row>
    <row r="145" spans="1:18" ht="30" customHeight="1" thickBot="1">
      <c r="A145" s="892"/>
      <c r="B145" s="590"/>
      <c r="C145" s="1050"/>
      <c r="D145" s="261" t="s">
        <v>78</v>
      </c>
      <c r="E145" s="588"/>
      <c r="F145" s="545">
        <v>60</v>
      </c>
      <c r="G145" s="546">
        <v>12.96</v>
      </c>
      <c r="H145" s="547">
        <v>1785</v>
      </c>
      <c r="I145" s="986">
        <v>11</v>
      </c>
      <c r="J145" s="974">
        <v>1319</v>
      </c>
      <c r="K145" s="374"/>
      <c r="L145" s="375">
        <v>501.69</v>
      </c>
      <c r="M145" s="905">
        <v>564</v>
      </c>
      <c r="N145" s="10">
        <v>0.15</v>
      </c>
      <c r="O145" s="11">
        <v>0.05</v>
      </c>
      <c r="P145" s="9">
        <v>0.03</v>
      </c>
      <c r="R145" s="70">
        <f>602*1.1</f>
        <v>662.2</v>
      </c>
    </row>
    <row r="146" spans="1:18" ht="30" customHeight="1">
      <c r="A146" s="892"/>
      <c r="B146" s="424"/>
      <c r="C146" s="1051" t="s">
        <v>12</v>
      </c>
      <c r="D146" s="96" t="s">
        <v>78</v>
      </c>
      <c r="E146" s="586" t="s">
        <v>42</v>
      </c>
      <c r="F146" s="539">
        <v>40</v>
      </c>
      <c r="G146" s="540">
        <v>19.440000000000001</v>
      </c>
      <c r="H146" s="541">
        <v>1781</v>
      </c>
      <c r="I146" s="577">
        <v>11</v>
      </c>
      <c r="J146" s="975">
        <v>1130</v>
      </c>
      <c r="K146" s="374"/>
      <c r="L146" s="375">
        <v>407.63</v>
      </c>
      <c r="M146" s="905">
        <v>458</v>
      </c>
      <c r="N146" s="10">
        <v>0.15</v>
      </c>
      <c r="O146" s="11">
        <v>0.05</v>
      </c>
      <c r="P146" s="9">
        <v>0.03</v>
      </c>
      <c r="R146" s="140">
        <f>490*1.1</f>
        <v>539</v>
      </c>
    </row>
    <row r="147" spans="1:18" ht="30" customHeight="1" thickBot="1">
      <c r="A147" s="892"/>
      <c r="B147" s="425"/>
      <c r="C147" s="1052"/>
      <c r="D147" s="154" t="s">
        <v>78</v>
      </c>
      <c r="E147" s="588"/>
      <c r="F147" s="545">
        <v>60</v>
      </c>
      <c r="G147" s="546">
        <v>12.96</v>
      </c>
      <c r="H147" s="547">
        <v>1785</v>
      </c>
      <c r="I147" s="986">
        <v>11</v>
      </c>
      <c r="J147" s="974">
        <v>1319</v>
      </c>
      <c r="K147" s="374"/>
      <c r="L147" s="375">
        <v>501.69</v>
      </c>
      <c r="M147" s="905">
        <v>564</v>
      </c>
      <c r="N147" s="10">
        <v>0.15</v>
      </c>
      <c r="O147" s="11">
        <v>0.05</v>
      </c>
      <c r="P147" s="9">
        <v>0.03</v>
      </c>
      <c r="R147" s="140">
        <f>602*1.1</f>
        <v>662.2</v>
      </c>
    </row>
    <row r="148" spans="1:18" ht="30" customHeight="1">
      <c r="A148" s="892"/>
      <c r="B148" s="605"/>
      <c r="C148" s="1049" t="s">
        <v>13</v>
      </c>
      <c r="D148" s="96"/>
      <c r="E148" s="586" t="s">
        <v>42</v>
      </c>
      <c r="F148" s="539">
        <v>40</v>
      </c>
      <c r="G148" s="540">
        <v>19.440000000000001</v>
      </c>
      <c r="H148" s="541">
        <v>1781</v>
      </c>
      <c r="I148" s="577">
        <v>11</v>
      </c>
      <c r="J148" s="975">
        <v>1130</v>
      </c>
      <c r="K148" s="374"/>
      <c r="L148" s="375">
        <v>407.63</v>
      </c>
      <c r="M148" s="905">
        <v>485</v>
      </c>
      <c r="N148" s="52">
        <v>0.15</v>
      </c>
      <c r="O148" s="11">
        <v>0.05</v>
      </c>
      <c r="P148" s="9">
        <v>3.0000000000000027E-2</v>
      </c>
      <c r="R148" s="140">
        <f>490*1.1</f>
        <v>539</v>
      </c>
    </row>
    <row r="149" spans="1:18" ht="30" customHeight="1" thickBot="1">
      <c r="A149" s="892"/>
      <c r="B149" s="606"/>
      <c r="C149" s="1050"/>
      <c r="D149" s="154"/>
      <c r="E149" s="588"/>
      <c r="F149" s="545">
        <v>60</v>
      </c>
      <c r="G149" s="546">
        <v>12.96</v>
      </c>
      <c r="H149" s="547">
        <v>1785</v>
      </c>
      <c r="I149" s="986">
        <v>11</v>
      </c>
      <c r="J149" s="974">
        <v>1319</v>
      </c>
      <c r="K149" s="374"/>
      <c r="L149" s="375">
        <v>501.69</v>
      </c>
      <c r="M149" s="905">
        <v>564</v>
      </c>
      <c r="N149" s="10">
        <v>0.15</v>
      </c>
      <c r="O149" s="11">
        <v>0.05</v>
      </c>
      <c r="P149" s="9">
        <v>0.03</v>
      </c>
      <c r="R149" s="140">
        <f>602*1.1</f>
        <v>662.2</v>
      </c>
    </row>
    <row r="150" spans="1:18" ht="30" customHeight="1">
      <c r="A150" s="892"/>
      <c r="B150" s="605"/>
      <c r="C150" s="1053" t="s">
        <v>44</v>
      </c>
      <c r="D150" s="190" t="s">
        <v>78</v>
      </c>
      <c r="E150" s="586" t="s">
        <v>42</v>
      </c>
      <c r="F150" s="539">
        <v>40</v>
      </c>
      <c r="G150" s="540">
        <v>19.440000000000001</v>
      </c>
      <c r="H150" s="541">
        <v>1781</v>
      </c>
      <c r="I150" s="577">
        <v>11</v>
      </c>
      <c r="J150" s="975">
        <v>1130</v>
      </c>
      <c r="K150" s="374"/>
      <c r="L150" s="375">
        <v>407.63</v>
      </c>
      <c r="M150" s="905">
        <v>485</v>
      </c>
      <c r="N150" s="52">
        <v>0.15</v>
      </c>
      <c r="O150" s="11">
        <v>0.05</v>
      </c>
      <c r="P150" s="9">
        <v>3.0000000000000027E-2</v>
      </c>
      <c r="R150" s="140">
        <f>490*1.1</f>
        <v>539</v>
      </c>
    </row>
    <row r="151" spans="1:18" ht="30" customHeight="1" thickBot="1">
      <c r="A151" s="892"/>
      <c r="B151" s="606"/>
      <c r="C151" s="1054"/>
      <c r="D151" s="261" t="s">
        <v>78</v>
      </c>
      <c r="E151" s="588"/>
      <c r="F151" s="545">
        <v>60</v>
      </c>
      <c r="G151" s="546">
        <v>12.96</v>
      </c>
      <c r="H151" s="547">
        <v>1785</v>
      </c>
      <c r="I151" s="986">
        <v>11</v>
      </c>
      <c r="J151" s="974">
        <v>1319</v>
      </c>
      <c r="K151" s="374"/>
      <c r="L151" s="375">
        <v>501.69</v>
      </c>
      <c r="M151" s="905">
        <v>564</v>
      </c>
      <c r="N151" s="10">
        <v>0.15</v>
      </c>
      <c r="O151" s="11">
        <v>0.05</v>
      </c>
      <c r="P151" s="9">
        <v>0.03</v>
      </c>
      <c r="R151" s="140">
        <f>602*1.1</f>
        <v>662.2</v>
      </c>
    </row>
    <row r="152" spans="1:18" ht="34.5" customHeight="1" thickBot="1">
      <c r="A152" s="892"/>
      <c r="B152" s="450"/>
      <c r="C152" s="1007" t="s">
        <v>101</v>
      </c>
      <c r="D152" s="96" t="s">
        <v>78</v>
      </c>
      <c r="E152" s="539" t="s">
        <v>42</v>
      </c>
      <c r="F152" s="535">
        <v>40</v>
      </c>
      <c r="G152" s="539">
        <v>19.440000000000001</v>
      </c>
      <c r="H152" s="539">
        <v>1781</v>
      </c>
      <c r="I152" s="988">
        <v>11</v>
      </c>
      <c r="J152" s="975">
        <v>1498</v>
      </c>
      <c r="K152" s="374"/>
      <c r="L152" s="375">
        <v>606.78</v>
      </c>
      <c r="M152" s="905">
        <v>695</v>
      </c>
      <c r="N152" s="10">
        <v>0.3</v>
      </c>
      <c r="O152" s="11">
        <v>0.1</v>
      </c>
      <c r="P152" s="9">
        <v>0.04</v>
      </c>
      <c r="R152" s="70">
        <f>729*1.1</f>
        <v>801.90000000000009</v>
      </c>
    </row>
    <row r="153" spans="1:18" ht="33.75" customHeight="1" thickBot="1">
      <c r="A153" s="892"/>
      <c r="B153" s="451"/>
      <c r="C153" s="1014" t="s">
        <v>86</v>
      </c>
      <c r="D153" s="96"/>
      <c r="E153" s="542" t="s">
        <v>42</v>
      </c>
      <c r="F153" s="536">
        <v>60</v>
      </c>
      <c r="G153" s="542">
        <v>12.96</v>
      </c>
      <c r="H153" s="542">
        <v>1785</v>
      </c>
      <c r="I153" s="989">
        <v>11</v>
      </c>
      <c r="J153" s="967">
        <v>1837</v>
      </c>
      <c r="K153" s="374"/>
      <c r="L153" s="375">
        <v>782.2</v>
      </c>
      <c r="M153" s="905">
        <v>896</v>
      </c>
      <c r="N153" s="10">
        <v>0.3</v>
      </c>
      <c r="O153" s="11">
        <v>0.1</v>
      </c>
      <c r="P153" s="9">
        <v>0.04</v>
      </c>
      <c r="R153" s="70">
        <f>939*1.1</f>
        <v>1032.9000000000001</v>
      </c>
    </row>
    <row r="154" spans="1:18" ht="34.5" customHeight="1" thickBot="1">
      <c r="A154" s="892"/>
      <c r="B154" s="450"/>
      <c r="C154" s="1007" t="s">
        <v>92</v>
      </c>
      <c r="D154" s="96" t="s">
        <v>78</v>
      </c>
      <c r="E154" s="539" t="s">
        <v>42</v>
      </c>
      <c r="F154" s="535">
        <v>40</v>
      </c>
      <c r="G154" s="539">
        <v>19.440000000000001</v>
      </c>
      <c r="H154" s="539">
        <v>1781</v>
      </c>
      <c r="I154" s="988">
        <v>11</v>
      </c>
      <c r="J154" s="975">
        <v>1498</v>
      </c>
      <c r="K154" s="374"/>
      <c r="L154" s="375">
        <v>606.78</v>
      </c>
      <c r="M154" s="905">
        <v>695</v>
      </c>
      <c r="N154" s="89">
        <v>0.3</v>
      </c>
      <c r="O154" s="90">
        <v>0.1</v>
      </c>
      <c r="P154" s="88">
        <v>0.04</v>
      </c>
      <c r="Q154" s="75"/>
      <c r="R154" s="140">
        <f>729*1.1</f>
        <v>801.90000000000009</v>
      </c>
    </row>
    <row r="155" spans="1:18" s="75" customFormat="1" ht="34.5" customHeight="1" thickBot="1">
      <c r="A155" s="892"/>
      <c r="B155" s="451"/>
      <c r="C155" s="1014" t="s">
        <v>93</v>
      </c>
      <c r="D155" s="96"/>
      <c r="E155" s="542" t="s">
        <v>42</v>
      </c>
      <c r="F155" s="536">
        <v>60</v>
      </c>
      <c r="G155" s="542">
        <v>12.96</v>
      </c>
      <c r="H155" s="542">
        <v>1785</v>
      </c>
      <c r="I155" s="989">
        <v>11</v>
      </c>
      <c r="J155" s="967">
        <v>1837</v>
      </c>
      <c r="K155" s="374"/>
      <c r="L155" s="375"/>
      <c r="M155" s="928"/>
      <c r="N155" s="89">
        <v>0.3</v>
      </c>
      <c r="O155" s="90">
        <v>0.1</v>
      </c>
      <c r="P155" s="88">
        <v>0.04</v>
      </c>
      <c r="R155" s="140">
        <f>939*1.1</f>
        <v>1032.9000000000001</v>
      </c>
    </row>
    <row r="156" spans="1:18" ht="15.95" customHeight="1" thickBot="1">
      <c r="A156" s="881" t="s">
        <v>43</v>
      </c>
      <c r="B156" s="608"/>
      <c r="C156" s="608"/>
      <c r="D156" s="608"/>
      <c r="E156" s="608"/>
      <c r="F156" s="608"/>
      <c r="G156" s="608"/>
      <c r="H156" s="608"/>
      <c r="I156" s="608"/>
      <c r="J156" s="715"/>
      <c r="K156" s="374"/>
      <c r="L156" s="375">
        <v>0</v>
      </c>
      <c r="M156" s="929"/>
      <c r="N156" s="10" t="e">
        <v>#DIV/0!</v>
      </c>
      <c r="O156" s="11" t="e">
        <v>#DIV/0!</v>
      </c>
      <c r="P156" s="9" t="e">
        <v>#DIV/0!</v>
      </c>
      <c r="R156" s="70"/>
    </row>
    <row r="157" spans="1:18" ht="30" customHeight="1" thickBot="1">
      <c r="A157" s="887">
        <v>17</v>
      </c>
      <c r="B157" s="598"/>
      <c r="C157" s="1029" t="s">
        <v>6</v>
      </c>
      <c r="D157" s="96"/>
      <c r="E157" s="550" t="s">
        <v>39</v>
      </c>
      <c r="F157" s="633">
        <v>60</v>
      </c>
      <c r="G157" s="561">
        <v>11.88</v>
      </c>
      <c r="H157" s="562">
        <v>1590</v>
      </c>
      <c r="I157" s="563">
        <v>12</v>
      </c>
      <c r="J157" s="967">
        <v>1130</v>
      </c>
      <c r="K157" s="374"/>
      <c r="L157" s="375">
        <v>433.9</v>
      </c>
      <c r="M157" s="930">
        <v>488</v>
      </c>
      <c r="N157" s="10">
        <v>0.1</v>
      </c>
      <c r="O157" s="11">
        <v>0.03</v>
      </c>
      <c r="P157" s="9">
        <v>0.02</v>
      </c>
      <c r="R157" s="70">
        <f>521*1.1</f>
        <v>573.1</v>
      </c>
    </row>
    <row r="158" spans="1:18" ht="30" customHeight="1" thickBot="1">
      <c r="A158" s="908"/>
      <c r="B158" s="599"/>
      <c r="C158" s="1055"/>
      <c r="D158" s="99"/>
      <c r="E158" s="551" t="s">
        <v>37</v>
      </c>
      <c r="F158" s="634"/>
      <c r="G158" s="568">
        <v>14.4</v>
      </c>
      <c r="H158" s="569">
        <v>1988</v>
      </c>
      <c r="I158" s="570">
        <v>10</v>
      </c>
      <c r="J158" s="975">
        <v>1130</v>
      </c>
      <c r="K158" s="374"/>
      <c r="L158" s="375">
        <v>433.9</v>
      </c>
      <c r="M158" s="921">
        <v>488</v>
      </c>
      <c r="N158" s="10">
        <v>0.1</v>
      </c>
      <c r="O158" s="11">
        <v>0.03</v>
      </c>
      <c r="P158" s="9">
        <v>0.02</v>
      </c>
      <c r="R158" s="70"/>
    </row>
    <row r="159" spans="1:18" ht="30" customHeight="1" thickBot="1">
      <c r="A159" s="892"/>
      <c r="B159" s="689"/>
      <c r="C159" s="1030"/>
      <c r="D159" s="261"/>
      <c r="E159" s="552" t="s">
        <v>59</v>
      </c>
      <c r="F159" s="634"/>
      <c r="G159" s="521">
        <v>11.52</v>
      </c>
      <c r="H159" s="522">
        <v>1641</v>
      </c>
      <c r="I159" s="553">
        <v>12</v>
      </c>
      <c r="J159" s="975">
        <v>1130</v>
      </c>
      <c r="K159" s="374"/>
      <c r="L159" s="375">
        <v>433.9</v>
      </c>
      <c r="M159" s="922">
        <v>488</v>
      </c>
      <c r="N159" s="10">
        <v>0.1</v>
      </c>
      <c r="O159" s="11">
        <v>0.03</v>
      </c>
      <c r="P159" s="9">
        <v>0.02</v>
      </c>
      <c r="R159" s="70"/>
    </row>
    <row r="160" spans="1:18" ht="28.5" customHeight="1" thickBot="1">
      <c r="A160" s="908"/>
      <c r="B160" s="616"/>
      <c r="C160" s="1056" t="s">
        <v>38</v>
      </c>
      <c r="D160" s="101"/>
      <c r="E160" s="550" t="s">
        <v>39</v>
      </c>
      <c r="F160" s="634"/>
      <c r="G160" s="561">
        <v>11.88</v>
      </c>
      <c r="H160" s="562">
        <v>1590</v>
      </c>
      <c r="I160" s="563">
        <v>12</v>
      </c>
      <c r="J160" s="975">
        <v>1319</v>
      </c>
      <c r="K160" s="374"/>
      <c r="L160" s="375">
        <v>501.69</v>
      </c>
      <c r="M160" s="923">
        <v>564</v>
      </c>
      <c r="N160" s="10">
        <v>0.15</v>
      </c>
      <c r="O160" s="11">
        <v>0.05</v>
      </c>
      <c r="P160" s="9">
        <v>0.03</v>
      </c>
      <c r="R160" s="70">
        <f>602*1.1</f>
        <v>662.2</v>
      </c>
    </row>
    <row r="161" spans="1:18" ht="28.5" customHeight="1" thickBot="1">
      <c r="A161" s="908"/>
      <c r="B161" s="617"/>
      <c r="C161" s="1057"/>
      <c r="D161" s="106"/>
      <c r="E161" s="554" t="s">
        <v>37</v>
      </c>
      <c r="F161" s="634"/>
      <c r="G161" s="571">
        <v>14.4</v>
      </c>
      <c r="H161" s="572">
        <v>1988</v>
      </c>
      <c r="I161" s="573">
        <v>10</v>
      </c>
      <c r="J161" s="975">
        <v>1319</v>
      </c>
      <c r="K161" s="374"/>
      <c r="L161" s="375">
        <v>501.69</v>
      </c>
      <c r="M161" s="923">
        <v>564</v>
      </c>
      <c r="N161" s="10">
        <v>0.15</v>
      </c>
      <c r="O161" s="11">
        <v>0.05</v>
      </c>
      <c r="P161" s="9">
        <v>0.03</v>
      </c>
      <c r="R161" s="70"/>
    </row>
    <row r="162" spans="1:18" ht="28.5" customHeight="1" thickBot="1">
      <c r="A162" s="908"/>
      <c r="B162" s="672"/>
      <c r="C162" s="1029" t="s">
        <v>44</v>
      </c>
      <c r="D162" s="96"/>
      <c r="E162" s="550" t="s">
        <v>39</v>
      </c>
      <c r="F162" s="634"/>
      <c r="G162" s="561">
        <v>11.88</v>
      </c>
      <c r="H162" s="562">
        <v>1590</v>
      </c>
      <c r="I162" s="563">
        <v>12</v>
      </c>
      <c r="J162" s="975">
        <v>1319</v>
      </c>
      <c r="K162" s="374"/>
      <c r="L162" s="375">
        <v>501.69</v>
      </c>
      <c r="M162" s="923">
        <v>564</v>
      </c>
      <c r="N162" s="10">
        <v>0.15</v>
      </c>
      <c r="O162" s="11">
        <v>0.05</v>
      </c>
      <c r="P162" s="9">
        <v>0.03</v>
      </c>
      <c r="R162" s="70"/>
    </row>
    <row r="163" spans="1:18" ht="28.5" customHeight="1" thickBot="1">
      <c r="A163" s="908"/>
      <c r="B163" s="673"/>
      <c r="C163" s="1030"/>
      <c r="D163" s="106"/>
      <c r="E163" s="554" t="s">
        <v>37</v>
      </c>
      <c r="F163" s="634"/>
      <c r="G163" s="571">
        <v>14.4</v>
      </c>
      <c r="H163" s="572">
        <v>1988</v>
      </c>
      <c r="I163" s="573">
        <v>10</v>
      </c>
      <c r="J163" s="975">
        <v>1319</v>
      </c>
      <c r="K163" s="374"/>
      <c r="L163" s="375">
        <v>501.69</v>
      </c>
      <c r="M163" s="923">
        <v>564</v>
      </c>
      <c r="N163" s="10">
        <v>0.15</v>
      </c>
      <c r="O163" s="11">
        <v>0.05</v>
      </c>
      <c r="P163" s="9">
        <v>0.03</v>
      </c>
      <c r="R163" s="70"/>
    </row>
    <row r="164" spans="1:18" ht="27.95" customHeight="1" thickBot="1">
      <c r="A164" s="892"/>
      <c r="B164" s="478"/>
      <c r="C164" s="1029" t="s">
        <v>14</v>
      </c>
      <c r="D164" s="96"/>
      <c r="E164" s="550" t="s">
        <v>39</v>
      </c>
      <c r="F164" s="634"/>
      <c r="G164" s="561">
        <v>11.88</v>
      </c>
      <c r="H164" s="562">
        <v>1590</v>
      </c>
      <c r="I164" s="563">
        <v>12</v>
      </c>
      <c r="J164" s="975">
        <v>1319</v>
      </c>
      <c r="K164" s="374"/>
      <c r="L164" s="375">
        <v>501.69</v>
      </c>
      <c r="M164" s="922">
        <v>564</v>
      </c>
      <c r="N164" s="10">
        <v>0.15</v>
      </c>
      <c r="O164" s="11">
        <v>0.05</v>
      </c>
      <c r="P164" s="9">
        <v>0.03</v>
      </c>
      <c r="R164" s="70"/>
    </row>
    <row r="165" spans="1:18" ht="27.95" customHeight="1" thickBot="1">
      <c r="A165" s="908"/>
      <c r="B165" s="476"/>
      <c r="C165" s="1030"/>
      <c r="D165" s="154"/>
      <c r="E165" s="554" t="s">
        <v>37</v>
      </c>
      <c r="F165" s="634"/>
      <c r="G165" s="571">
        <v>14.4</v>
      </c>
      <c r="H165" s="572">
        <v>1988</v>
      </c>
      <c r="I165" s="573">
        <v>10</v>
      </c>
      <c r="J165" s="975">
        <v>1319</v>
      </c>
      <c r="K165" s="374"/>
      <c r="L165" s="375">
        <v>501.69</v>
      </c>
      <c r="M165" s="922">
        <v>564</v>
      </c>
      <c r="N165" s="10">
        <v>0.15</v>
      </c>
      <c r="O165" s="11">
        <v>0.05</v>
      </c>
      <c r="P165" s="9">
        <v>0.03</v>
      </c>
      <c r="R165" s="70"/>
    </row>
    <row r="166" spans="1:18" ht="43.5" customHeight="1" thickBot="1">
      <c r="A166" s="892"/>
      <c r="B166" s="297"/>
      <c r="C166" s="1058" t="s">
        <v>142</v>
      </c>
      <c r="D166" s="37"/>
      <c r="E166" s="555" t="s">
        <v>37</v>
      </c>
      <c r="F166" s="634"/>
      <c r="G166" s="490">
        <v>14.4</v>
      </c>
      <c r="H166" s="491">
        <v>1988</v>
      </c>
      <c r="I166" s="519">
        <v>10</v>
      </c>
      <c r="J166" s="991">
        <v>2190</v>
      </c>
      <c r="K166" s="374"/>
      <c r="L166" s="375">
        <v>890.68</v>
      </c>
      <c r="M166" s="922">
        <v>1001</v>
      </c>
      <c r="N166" s="10">
        <v>0.25</v>
      </c>
      <c r="O166" s="11">
        <v>0.1</v>
      </c>
      <c r="P166" s="9">
        <v>3.9960039960039939E-2</v>
      </c>
      <c r="R166" s="70">
        <f>1069*1.1</f>
        <v>1175.9000000000001</v>
      </c>
    </row>
    <row r="167" spans="1:18" ht="44.25" customHeight="1" thickBot="1">
      <c r="A167" s="892"/>
      <c r="B167" s="479"/>
      <c r="C167" s="1018" t="s">
        <v>143</v>
      </c>
      <c r="D167" s="37"/>
      <c r="E167" s="555" t="s">
        <v>37</v>
      </c>
      <c r="F167" s="634"/>
      <c r="G167" s="490">
        <v>14.4</v>
      </c>
      <c r="H167" s="491">
        <v>1988</v>
      </c>
      <c r="I167" s="519">
        <v>10</v>
      </c>
      <c r="J167" s="991">
        <v>2190</v>
      </c>
      <c r="K167" s="374"/>
      <c r="L167" s="375">
        <v>890.68</v>
      </c>
      <c r="M167" s="922">
        <v>1001</v>
      </c>
      <c r="N167" s="10">
        <v>0.25</v>
      </c>
      <c r="O167" s="11">
        <v>0.1</v>
      </c>
      <c r="P167" s="9">
        <v>3.9960039960039939E-2</v>
      </c>
      <c r="R167" s="70"/>
    </row>
    <row r="168" spans="1:18" ht="49.5" customHeight="1" thickBot="1">
      <c r="A168" s="897"/>
      <c r="B168" s="92"/>
      <c r="C168" s="1059" t="s">
        <v>104</v>
      </c>
      <c r="D168" s="37"/>
      <c r="E168" s="555" t="s">
        <v>37</v>
      </c>
      <c r="F168" s="635"/>
      <c r="G168" s="490">
        <v>14.4</v>
      </c>
      <c r="H168" s="491">
        <v>1988</v>
      </c>
      <c r="I168" s="519">
        <v>10</v>
      </c>
      <c r="J168" s="975">
        <v>2190</v>
      </c>
      <c r="K168" s="374"/>
      <c r="L168" s="375">
        <v>890.68</v>
      </c>
      <c r="M168" s="931">
        <v>1001</v>
      </c>
      <c r="N168" s="10">
        <v>0.25</v>
      </c>
      <c r="O168" s="11">
        <v>0.1</v>
      </c>
      <c r="P168" s="9">
        <v>3.9960039960039939E-2</v>
      </c>
      <c r="R168" s="70"/>
    </row>
    <row r="169" spans="1:18" ht="15.75" customHeight="1" thickBot="1">
      <c r="A169" s="932" t="s">
        <v>35</v>
      </c>
      <c r="B169" s="658"/>
      <c r="C169" s="658"/>
      <c r="D169" s="658"/>
      <c r="E169" s="658"/>
      <c r="F169" s="658"/>
      <c r="G169" s="658"/>
      <c r="H169" s="658"/>
      <c r="I169" s="658"/>
      <c r="J169" s="715"/>
      <c r="K169" s="374"/>
      <c r="L169" s="375">
        <v>0</v>
      </c>
      <c r="M169" s="933"/>
      <c r="N169" s="10" t="e">
        <v>#DIV/0!</v>
      </c>
      <c r="O169" s="11" t="e">
        <v>#DIV/0!</v>
      </c>
      <c r="P169" s="9" t="e">
        <v>#DIV/0!</v>
      </c>
      <c r="R169" s="70"/>
    </row>
    <row r="170" spans="1:18" ht="57" customHeight="1" thickBot="1">
      <c r="A170" s="884">
        <v>18</v>
      </c>
      <c r="B170" s="427"/>
      <c r="C170" s="1060" t="s">
        <v>6</v>
      </c>
      <c r="D170" s="83" t="s">
        <v>78</v>
      </c>
      <c r="E170" s="556" t="s">
        <v>18</v>
      </c>
      <c r="F170" s="489">
        <v>100</v>
      </c>
      <c r="G170" s="490">
        <v>10.8</v>
      </c>
      <c r="H170" s="491">
        <v>1552</v>
      </c>
      <c r="I170" s="557">
        <v>12</v>
      </c>
      <c r="J170" s="967">
        <v>1426</v>
      </c>
      <c r="K170" s="374"/>
      <c r="L170" s="375">
        <v>501.69</v>
      </c>
      <c r="M170" s="888">
        <v>564</v>
      </c>
      <c r="N170" s="10">
        <v>0.2</v>
      </c>
      <c r="O170" s="11">
        <v>0.03</v>
      </c>
      <c r="P170" s="9">
        <v>0.02</v>
      </c>
      <c r="R170" s="70">
        <f>602*1.1</f>
        <v>662.2</v>
      </c>
    </row>
    <row r="171" spans="1:18" s="75" customFormat="1" ht="20.25" customHeight="1" thickBot="1">
      <c r="A171" s="934"/>
      <c r="B171" s="441"/>
      <c r="C171" s="442"/>
      <c r="D171" s="443"/>
      <c r="E171" s="558"/>
      <c r="F171" s="559"/>
      <c r="G171" s="560"/>
      <c r="H171" s="560"/>
      <c r="I171" s="560"/>
      <c r="J171" s="992"/>
      <c r="K171" s="935"/>
      <c r="L171" s="936"/>
      <c r="M171" s="937"/>
      <c r="N171" s="89"/>
      <c r="O171" s="90"/>
      <c r="P171" s="88"/>
      <c r="R171" s="140"/>
    </row>
    <row r="172" spans="1:18" ht="16.5" thickBot="1">
      <c r="A172" s="879" t="s">
        <v>1</v>
      </c>
      <c r="B172" s="631"/>
      <c r="C172" s="631"/>
      <c r="D172" s="631"/>
      <c r="E172" s="631"/>
      <c r="F172" s="631"/>
      <c r="G172" s="631"/>
      <c r="H172" s="631"/>
      <c r="I172" s="631"/>
      <c r="J172" s="631"/>
      <c r="K172" s="374"/>
      <c r="L172" s="375">
        <v>0</v>
      </c>
      <c r="M172" s="880"/>
      <c r="N172" s="10" t="e">
        <v>#DIV/0!</v>
      </c>
      <c r="O172" s="11" t="e">
        <v>#DIV/0!</v>
      </c>
      <c r="P172" s="9" t="e">
        <v>#DIV/0!</v>
      </c>
      <c r="R172" s="70"/>
    </row>
    <row r="173" spans="1:18" s="75" customFormat="1" ht="96.75" customHeight="1" thickBot="1">
      <c r="A173" s="938" t="s">
        <v>0</v>
      </c>
      <c r="B173" s="639" t="s">
        <v>5</v>
      </c>
      <c r="C173" s="640"/>
      <c r="D173" s="641"/>
      <c r="E173" s="485" t="s">
        <v>7</v>
      </c>
      <c r="F173" s="485" t="s">
        <v>16</v>
      </c>
      <c r="G173" s="485" t="s">
        <v>134</v>
      </c>
      <c r="H173" s="486" t="s">
        <v>8</v>
      </c>
      <c r="I173" s="485" t="s">
        <v>25</v>
      </c>
      <c r="J173" s="487" t="s">
        <v>165</v>
      </c>
      <c r="K173" s="373">
        <v>1.05</v>
      </c>
      <c r="L173" s="77" t="s">
        <v>119</v>
      </c>
      <c r="M173" s="939" t="s">
        <v>120</v>
      </c>
      <c r="N173" s="6" t="s">
        <v>114</v>
      </c>
      <c r="O173" s="6" t="s">
        <v>115</v>
      </c>
      <c r="P173" s="6" t="s">
        <v>116</v>
      </c>
      <c r="R173" s="68"/>
    </row>
    <row r="174" spans="1:18" ht="15.75" customHeight="1" thickBot="1">
      <c r="A174" s="881" t="s">
        <v>30</v>
      </c>
      <c r="B174" s="608"/>
      <c r="C174" s="608"/>
      <c r="D174" s="608"/>
      <c r="E174" s="608"/>
      <c r="F174" s="608"/>
      <c r="G174" s="608"/>
      <c r="H174" s="608"/>
      <c r="I174" s="608"/>
      <c r="J174" s="658"/>
      <c r="K174" s="374"/>
      <c r="L174" s="375">
        <v>0</v>
      </c>
      <c r="M174" s="940"/>
      <c r="N174" s="10" t="e">
        <v>#DIV/0!</v>
      </c>
      <c r="O174" s="11" t="e">
        <v>#DIV/0!</v>
      </c>
      <c r="P174" s="9" t="e">
        <v>#DIV/0!</v>
      </c>
      <c r="R174" s="70"/>
    </row>
    <row r="175" spans="1:18" ht="48" customHeight="1" thickBot="1">
      <c r="A175" s="884">
        <v>1</v>
      </c>
      <c r="B175" s="286"/>
      <c r="C175" s="1018" t="s">
        <v>6</v>
      </c>
      <c r="D175" s="83" t="s">
        <v>78</v>
      </c>
      <c r="E175" s="489" t="s">
        <v>45</v>
      </c>
      <c r="F175" s="490">
        <v>300</v>
      </c>
      <c r="G175" s="491">
        <v>18</v>
      </c>
      <c r="H175" s="491">
        <v>1818</v>
      </c>
      <c r="I175" s="519">
        <v>11</v>
      </c>
      <c r="J175" s="967">
        <v>669</v>
      </c>
      <c r="K175" s="374"/>
      <c r="L175" s="375">
        <v>255.93</v>
      </c>
      <c r="M175" s="918">
        <v>288</v>
      </c>
      <c r="N175" s="10">
        <v>0.1</v>
      </c>
      <c r="O175" s="11">
        <v>0.03</v>
      </c>
      <c r="P175" s="9">
        <v>0.02</v>
      </c>
      <c r="R175" s="70">
        <f>308*1.1</f>
        <v>338.8</v>
      </c>
    </row>
    <row r="176" spans="1:18" ht="14.25" customHeight="1" thickBot="1">
      <c r="A176" s="881" t="s">
        <v>29</v>
      </c>
      <c r="B176" s="608"/>
      <c r="C176" s="608"/>
      <c r="D176" s="608"/>
      <c r="E176" s="608"/>
      <c r="F176" s="608"/>
      <c r="G176" s="608"/>
      <c r="H176" s="608"/>
      <c r="I176" s="608"/>
      <c r="J176" s="715"/>
      <c r="K176" s="374"/>
      <c r="L176" s="375">
        <v>0</v>
      </c>
      <c r="M176" s="941"/>
      <c r="N176" s="10" t="e">
        <v>#DIV/0!</v>
      </c>
      <c r="O176" s="11" t="e">
        <v>#DIV/0!</v>
      </c>
      <c r="P176" s="9" t="e">
        <v>#DIV/0!</v>
      </c>
      <c r="R176" s="70"/>
    </row>
    <row r="177" spans="1:18" ht="57.75" customHeight="1" thickBot="1">
      <c r="A177" s="887">
        <v>2</v>
      </c>
      <c r="B177" s="432"/>
      <c r="C177" s="1018" t="s">
        <v>6</v>
      </c>
      <c r="D177" s="83" t="s">
        <v>78</v>
      </c>
      <c r="E177" s="647" t="s">
        <v>46</v>
      </c>
      <c r="F177" s="647">
        <v>200</v>
      </c>
      <c r="G177" s="645">
        <v>48</v>
      </c>
      <c r="H177" s="626">
        <v>1759</v>
      </c>
      <c r="I177" s="665">
        <v>11</v>
      </c>
      <c r="J177" s="974">
        <v>343</v>
      </c>
      <c r="K177" s="374"/>
      <c r="L177" s="375">
        <v>111.02</v>
      </c>
      <c r="M177" s="942">
        <v>125</v>
      </c>
      <c r="N177" s="10">
        <v>0.3</v>
      </c>
      <c r="O177" s="11">
        <v>0.03</v>
      </c>
      <c r="P177" s="60">
        <v>0.02</v>
      </c>
      <c r="R177" s="70">
        <f>134*1.1</f>
        <v>147.4</v>
      </c>
    </row>
    <row r="178" spans="1:18" s="75" customFormat="1" ht="57.75" customHeight="1" thickBot="1">
      <c r="A178" s="943"/>
      <c r="B178" s="433"/>
      <c r="C178" s="1019" t="s">
        <v>14</v>
      </c>
      <c r="D178" s="193" t="s">
        <v>78</v>
      </c>
      <c r="E178" s="648"/>
      <c r="F178" s="648"/>
      <c r="G178" s="660"/>
      <c r="H178" s="627"/>
      <c r="I178" s="666"/>
      <c r="J178" s="975">
        <v>394</v>
      </c>
      <c r="K178" s="374"/>
      <c r="L178" s="375">
        <v>134.75</v>
      </c>
      <c r="M178" s="944">
        <v>151</v>
      </c>
      <c r="N178" s="89">
        <v>0.25</v>
      </c>
      <c r="O178" s="90">
        <v>0.1</v>
      </c>
      <c r="P178" s="88">
        <v>0.03</v>
      </c>
      <c r="R178" s="140">
        <f>162*1.1</f>
        <v>178.20000000000002</v>
      </c>
    </row>
    <row r="179" spans="1:18" ht="57.75" customHeight="1" thickBot="1">
      <c r="A179" s="908"/>
      <c r="B179" s="434"/>
      <c r="C179" s="1014" t="s">
        <v>13</v>
      </c>
      <c r="D179" s="97"/>
      <c r="E179" s="649"/>
      <c r="F179" s="649"/>
      <c r="G179" s="646"/>
      <c r="H179" s="628"/>
      <c r="I179" s="667"/>
      <c r="J179" s="975">
        <v>394</v>
      </c>
      <c r="K179" s="374"/>
      <c r="L179" s="375">
        <v>134.75</v>
      </c>
      <c r="M179" s="944">
        <v>151</v>
      </c>
      <c r="N179" s="10">
        <v>0.25</v>
      </c>
      <c r="O179" s="11">
        <v>0.1</v>
      </c>
      <c r="P179" s="9">
        <v>0.03</v>
      </c>
      <c r="R179" s="70">
        <f>162*1.1</f>
        <v>178.20000000000002</v>
      </c>
    </row>
    <row r="180" spans="1:18" ht="57.75" customHeight="1" thickBot="1">
      <c r="A180" s="908"/>
      <c r="B180" s="434"/>
      <c r="C180" s="1014" t="s">
        <v>12</v>
      </c>
      <c r="D180" s="99" t="s">
        <v>78</v>
      </c>
      <c r="E180" s="649"/>
      <c r="F180" s="649"/>
      <c r="G180" s="646"/>
      <c r="H180" s="628"/>
      <c r="I180" s="667"/>
      <c r="J180" s="975">
        <v>394</v>
      </c>
      <c r="K180" s="374"/>
      <c r="L180" s="375">
        <v>134.75</v>
      </c>
      <c r="M180" s="944">
        <v>151</v>
      </c>
      <c r="N180" s="10">
        <v>0.25</v>
      </c>
      <c r="O180" s="11">
        <v>0.1</v>
      </c>
      <c r="P180" s="9">
        <v>0.03</v>
      </c>
      <c r="R180" s="70"/>
    </row>
    <row r="181" spans="1:18" ht="57.75" customHeight="1" thickBot="1">
      <c r="A181" s="908"/>
      <c r="B181" s="434"/>
      <c r="C181" s="1014" t="s">
        <v>38</v>
      </c>
      <c r="D181" s="99" t="s">
        <v>78</v>
      </c>
      <c r="E181" s="649"/>
      <c r="F181" s="649"/>
      <c r="G181" s="646"/>
      <c r="H181" s="628"/>
      <c r="I181" s="667"/>
      <c r="J181" s="975">
        <v>394</v>
      </c>
      <c r="K181" s="374"/>
      <c r="L181" s="375">
        <v>134.75</v>
      </c>
      <c r="M181" s="944">
        <v>151</v>
      </c>
      <c r="N181" s="10">
        <v>0.25</v>
      </c>
      <c r="O181" s="11">
        <v>0.1</v>
      </c>
      <c r="P181" s="9">
        <v>0.03</v>
      </c>
      <c r="R181" s="70"/>
    </row>
    <row r="182" spans="1:18" ht="57.75" customHeight="1" thickBot="1">
      <c r="A182" s="908"/>
      <c r="B182" s="434"/>
      <c r="C182" s="1014" t="s">
        <v>44</v>
      </c>
      <c r="D182" s="99" t="s">
        <v>78</v>
      </c>
      <c r="E182" s="649"/>
      <c r="F182" s="649"/>
      <c r="G182" s="646"/>
      <c r="H182" s="628"/>
      <c r="I182" s="667"/>
      <c r="J182" s="975">
        <v>394</v>
      </c>
      <c r="K182" s="374"/>
      <c r="L182" s="375">
        <v>134.75</v>
      </c>
      <c r="M182" s="944">
        <v>151</v>
      </c>
      <c r="N182" s="10">
        <v>0.25</v>
      </c>
      <c r="O182" s="11">
        <v>0.1</v>
      </c>
      <c r="P182" s="9">
        <v>0.03</v>
      </c>
      <c r="R182" s="70"/>
    </row>
    <row r="183" spans="1:18" ht="57.75" customHeight="1" thickBot="1">
      <c r="A183" s="908"/>
      <c r="B183" s="434"/>
      <c r="C183" s="1019" t="s">
        <v>86</v>
      </c>
      <c r="D183" s="99" t="s">
        <v>78</v>
      </c>
      <c r="E183" s="649"/>
      <c r="F183" s="649"/>
      <c r="G183" s="646"/>
      <c r="H183" s="628"/>
      <c r="I183" s="667"/>
      <c r="J183" s="975">
        <v>394</v>
      </c>
      <c r="K183" s="374"/>
      <c r="L183" s="375">
        <v>134.75</v>
      </c>
      <c r="M183" s="944">
        <v>151</v>
      </c>
      <c r="N183" s="10">
        <v>0.25</v>
      </c>
      <c r="O183" s="11">
        <v>0.1</v>
      </c>
      <c r="P183" s="9">
        <v>0.03</v>
      </c>
      <c r="R183" s="70"/>
    </row>
    <row r="184" spans="1:18" ht="57.75" customHeight="1" thickBot="1">
      <c r="A184" s="908"/>
      <c r="B184" s="434"/>
      <c r="C184" s="1014" t="s">
        <v>107</v>
      </c>
      <c r="D184" s="99"/>
      <c r="E184" s="649"/>
      <c r="F184" s="649"/>
      <c r="G184" s="646"/>
      <c r="H184" s="628"/>
      <c r="I184" s="667"/>
      <c r="J184" s="975">
        <v>394</v>
      </c>
      <c r="K184" s="374"/>
      <c r="L184" s="375">
        <v>134.75</v>
      </c>
      <c r="M184" s="944">
        <v>151</v>
      </c>
      <c r="N184" s="10">
        <v>0.25</v>
      </c>
      <c r="O184" s="11">
        <v>0.1</v>
      </c>
      <c r="P184" s="9">
        <v>0.03</v>
      </c>
      <c r="R184" s="70"/>
    </row>
    <row r="185" spans="1:18" ht="57.75" customHeight="1" thickBot="1">
      <c r="A185" s="908"/>
      <c r="B185" s="434"/>
      <c r="C185" s="1014" t="s">
        <v>87</v>
      </c>
      <c r="D185" s="99"/>
      <c r="E185" s="649"/>
      <c r="F185" s="649"/>
      <c r="G185" s="646"/>
      <c r="H185" s="628"/>
      <c r="I185" s="667"/>
      <c r="J185" s="975">
        <v>394</v>
      </c>
      <c r="K185" s="374"/>
      <c r="L185" s="375">
        <v>134.75</v>
      </c>
      <c r="M185" s="944">
        <v>151</v>
      </c>
      <c r="N185" s="10">
        <v>0.25</v>
      </c>
      <c r="O185" s="11">
        <v>0.1</v>
      </c>
      <c r="P185" s="9">
        <v>0.03</v>
      </c>
      <c r="R185" s="70"/>
    </row>
    <row r="186" spans="1:18" ht="57.75" customHeight="1" thickBot="1">
      <c r="A186" s="889"/>
      <c r="B186" s="436"/>
      <c r="C186" s="1015" t="s">
        <v>92</v>
      </c>
      <c r="D186" s="106" t="s">
        <v>78</v>
      </c>
      <c r="E186" s="650"/>
      <c r="F186" s="650"/>
      <c r="G186" s="661"/>
      <c r="H186" s="629"/>
      <c r="I186" s="668"/>
      <c r="J186" s="975">
        <v>394</v>
      </c>
      <c r="K186" s="374"/>
      <c r="L186" s="375">
        <v>134.75</v>
      </c>
      <c r="M186" s="945">
        <v>151</v>
      </c>
      <c r="N186" s="10">
        <v>0.25</v>
      </c>
      <c r="O186" s="11">
        <v>0.1</v>
      </c>
      <c r="P186" s="9">
        <v>0.03</v>
      </c>
      <c r="R186" s="70"/>
    </row>
    <row r="187" spans="1:18" s="75" customFormat="1" ht="18.75" customHeight="1" thickBot="1">
      <c r="A187" s="881" t="s">
        <v>117</v>
      </c>
      <c r="B187" s="651"/>
      <c r="C187" s="651"/>
      <c r="D187" s="651"/>
      <c r="E187" s="651"/>
      <c r="F187" s="651"/>
      <c r="G187" s="651"/>
      <c r="H187" s="651"/>
      <c r="I187" s="651"/>
      <c r="J187" s="993"/>
      <c r="K187" s="374"/>
      <c r="L187" s="375"/>
      <c r="M187" s="946"/>
      <c r="N187" s="89"/>
      <c r="O187" s="90"/>
      <c r="P187" s="88"/>
      <c r="R187" s="140"/>
    </row>
    <row r="188" spans="1:18" ht="57.75" customHeight="1" thickBot="1">
      <c r="A188" s="890">
        <v>3</v>
      </c>
      <c r="B188" s="432"/>
      <c r="C188" s="1018" t="s">
        <v>6</v>
      </c>
      <c r="D188" s="83"/>
      <c r="E188" s="674" t="s">
        <v>118</v>
      </c>
      <c r="F188" s="623">
        <v>200</v>
      </c>
      <c r="G188" s="662">
        <v>104</v>
      </c>
      <c r="H188" s="642">
        <v>1821</v>
      </c>
      <c r="I188" s="968">
        <v>11</v>
      </c>
      <c r="J188" s="976">
        <v>200</v>
      </c>
      <c r="K188" s="156">
        <v>75.83</v>
      </c>
      <c r="L188" s="375"/>
      <c r="M188" s="946"/>
      <c r="N188" s="10"/>
      <c r="O188" s="11"/>
      <c r="P188" s="9"/>
      <c r="R188" s="70"/>
    </row>
    <row r="189" spans="1:18" s="75" customFormat="1" ht="57.75" customHeight="1" thickBot="1">
      <c r="A189" s="892"/>
      <c r="B189" s="433"/>
      <c r="C189" s="1019" t="s">
        <v>12</v>
      </c>
      <c r="D189" s="193"/>
      <c r="E189" s="675"/>
      <c r="F189" s="624"/>
      <c r="G189" s="663"/>
      <c r="H189" s="643"/>
      <c r="I189" s="969"/>
      <c r="J189" s="975">
        <v>231</v>
      </c>
      <c r="K189" s="156">
        <v>90.83</v>
      </c>
      <c r="L189" s="375"/>
      <c r="M189" s="946"/>
      <c r="N189" s="89"/>
      <c r="O189" s="90"/>
      <c r="P189" s="88"/>
      <c r="R189" s="140"/>
    </row>
    <row r="190" spans="1:18" s="75" customFormat="1" ht="57.75" customHeight="1" thickBot="1">
      <c r="A190" s="892"/>
      <c r="B190" s="433"/>
      <c r="C190" s="1019" t="s">
        <v>44</v>
      </c>
      <c r="D190" s="193"/>
      <c r="E190" s="675"/>
      <c r="F190" s="624"/>
      <c r="G190" s="663"/>
      <c r="H190" s="643"/>
      <c r="I190" s="969"/>
      <c r="J190" s="975">
        <v>231</v>
      </c>
      <c r="K190" s="156">
        <v>90.83</v>
      </c>
      <c r="L190" s="375"/>
      <c r="M190" s="946"/>
      <c r="N190" s="89"/>
      <c r="O190" s="90"/>
      <c r="P190" s="88"/>
      <c r="R190" s="140"/>
    </row>
    <row r="191" spans="1:18" ht="57.75" customHeight="1" thickBot="1">
      <c r="A191" s="892"/>
      <c r="B191" s="434"/>
      <c r="C191" s="1014" t="s">
        <v>38</v>
      </c>
      <c r="D191" s="99"/>
      <c r="E191" s="675"/>
      <c r="F191" s="624"/>
      <c r="G191" s="663"/>
      <c r="H191" s="643"/>
      <c r="I191" s="969"/>
      <c r="J191" s="975">
        <v>231</v>
      </c>
      <c r="K191" s="156">
        <v>90.83</v>
      </c>
      <c r="L191" s="375"/>
      <c r="M191" s="946"/>
      <c r="N191" s="10"/>
      <c r="O191" s="11"/>
      <c r="P191" s="9"/>
      <c r="R191" s="70"/>
    </row>
    <row r="192" spans="1:18" s="75" customFormat="1" ht="57.75" customHeight="1" thickBot="1">
      <c r="A192" s="892"/>
      <c r="B192" s="435"/>
      <c r="C192" s="1061" t="s">
        <v>93</v>
      </c>
      <c r="D192" s="17"/>
      <c r="E192" s="675"/>
      <c r="F192" s="624"/>
      <c r="G192" s="663"/>
      <c r="H192" s="643"/>
      <c r="I192" s="969"/>
      <c r="J192" s="975">
        <v>231</v>
      </c>
      <c r="K192" s="156">
        <v>90.83</v>
      </c>
      <c r="L192" s="375"/>
      <c r="M192" s="946"/>
      <c r="N192" s="89"/>
      <c r="O192" s="90"/>
      <c r="P192" s="88"/>
      <c r="R192" s="140"/>
    </row>
    <row r="193" spans="1:18" ht="57.75" customHeight="1" thickBot="1">
      <c r="A193" s="897"/>
      <c r="B193" s="436"/>
      <c r="C193" s="1015" t="s">
        <v>86</v>
      </c>
      <c r="D193" s="106"/>
      <c r="E193" s="676"/>
      <c r="F193" s="625"/>
      <c r="G193" s="664"/>
      <c r="H193" s="644"/>
      <c r="I193" s="970"/>
      <c r="J193" s="975">
        <v>231</v>
      </c>
      <c r="K193" s="156">
        <v>90.83</v>
      </c>
      <c r="L193" s="375"/>
      <c r="M193" s="946"/>
      <c r="N193" s="10"/>
      <c r="O193" s="11"/>
      <c r="P193" s="9"/>
      <c r="R193" s="70"/>
    </row>
    <row r="194" spans="1:18" ht="14.25" customHeight="1" thickBot="1">
      <c r="A194" s="932" t="s">
        <v>149</v>
      </c>
      <c r="B194" s="658"/>
      <c r="C194" s="658"/>
      <c r="D194" s="658"/>
      <c r="E194" s="658"/>
      <c r="F194" s="658"/>
      <c r="G194" s="658"/>
      <c r="H194" s="658"/>
      <c r="I194" s="658"/>
      <c r="J194" s="715"/>
      <c r="K194" s="374"/>
      <c r="L194" s="375">
        <v>0</v>
      </c>
      <c r="M194" s="941"/>
      <c r="N194" s="10" t="e">
        <v>#DIV/0!</v>
      </c>
      <c r="O194" s="11" t="e">
        <v>#DIV/0!</v>
      </c>
      <c r="P194" s="9" t="e">
        <v>#DIV/0!</v>
      </c>
      <c r="R194" s="70"/>
    </row>
    <row r="195" spans="1:18" ht="60" customHeight="1" thickBot="1">
      <c r="A195" s="890">
        <v>4</v>
      </c>
      <c r="B195" s="428"/>
      <c r="C195" s="1060" t="s">
        <v>6</v>
      </c>
      <c r="D195" s="37"/>
      <c r="E195" s="556" t="s">
        <v>64</v>
      </c>
      <c r="F195" s="623">
        <v>60</v>
      </c>
      <c r="G195" s="490">
        <v>60</v>
      </c>
      <c r="H195" s="491">
        <v>1498</v>
      </c>
      <c r="I195" s="519">
        <v>13</v>
      </c>
      <c r="J195" s="974">
        <v>606</v>
      </c>
      <c r="K195" s="374"/>
      <c r="L195" s="375">
        <v>211.86</v>
      </c>
      <c r="M195" s="926">
        <v>238</v>
      </c>
      <c r="N195" s="10">
        <v>0.2</v>
      </c>
      <c r="O195" s="11">
        <v>0.05</v>
      </c>
      <c r="P195" s="9">
        <v>0.02</v>
      </c>
      <c r="R195" s="70">
        <f>255*1.1</f>
        <v>280.5</v>
      </c>
    </row>
    <row r="196" spans="1:18" ht="60" customHeight="1" thickBot="1">
      <c r="A196" s="892"/>
      <c r="B196" s="429"/>
      <c r="C196" s="1062" t="s">
        <v>44</v>
      </c>
      <c r="D196" s="96"/>
      <c r="E196" s="581" t="s">
        <v>64</v>
      </c>
      <c r="F196" s="624"/>
      <c r="G196" s="561">
        <v>60</v>
      </c>
      <c r="H196" s="562">
        <v>1498</v>
      </c>
      <c r="I196" s="563">
        <v>13</v>
      </c>
      <c r="J196" s="975">
        <v>784</v>
      </c>
      <c r="K196" s="374"/>
      <c r="L196" s="375">
        <v>284.75</v>
      </c>
      <c r="M196" s="926">
        <v>320</v>
      </c>
      <c r="N196" s="10">
        <v>0.2</v>
      </c>
      <c r="O196" s="11">
        <v>0.05</v>
      </c>
      <c r="P196" s="9">
        <v>3.0000000000000027E-2</v>
      </c>
      <c r="R196" s="70">
        <f>342*1.1</f>
        <v>376.20000000000005</v>
      </c>
    </row>
    <row r="197" spans="1:18" ht="60" customHeight="1" thickBot="1">
      <c r="A197" s="892"/>
      <c r="B197" s="430"/>
      <c r="C197" s="1063" t="s">
        <v>38</v>
      </c>
      <c r="D197" s="97"/>
      <c r="E197" s="582" t="s">
        <v>64</v>
      </c>
      <c r="F197" s="624"/>
      <c r="G197" s="568">
        <v>60</v>
      </c>
      <c r="H197" s="569">
        <v>1498</v>
      </c>
      <c r="I197" s="570">
        <v>13</v>
      </c>
      <c r="J197" s="975">
        <v>784</v>
      </c>
      <c r="K197" s="374"/>
      <c r="L197" s="375">
        <v>284.75</v>
      </c>
      <c r="M197" s="926">
        <v>320</v>
      </c>
      <c r="N197" s="10">
        <v>0.2</v>
      </c>
      <c r="O197" s="11">
        <v>0.05</v>
      </c>
      <c r="P197" s="9">
        <v>3.0000000000000027E-2</v>
      </c>
      <c r="R197" s="70"/>
    </row>
    <row r="198" spans="1:18" ht="60" customHeight="1" thickBot="1">
      <c r="A198" s="897"/>
      <c r="B198" s="431"/>
      <c r="C198" s="1064" t="s">
        <v>12</v>
      </c>
      <c r="D198" s="154"/>
      <c r="E198" s="575" t="s">
        <v>64</v>
      </c>
      <c r="F198" s="625"/>
      <c r="G198" s="571">
        <v>60</v>
      </c>
      <c r="H198" s="572">
        <v>1498</v>
      </c>
      <c r="I198" s="573">
        <v>13</v>
      </c>
      <c r="J198" s="975">
        <v>784</v>
      </c>
      <c r="K198" s="374"/>
      <c r="L198" s="375">
        <v>284.75</v>
      </c>
      <c r="M198" s="947">
        <v>320</v>
      </c>
      <c r="N198" s="10">
        <v>0.2</v>
      </c>
      <c r="O198" s="11">
        <v>0.05</v>
      </c>
      <c r="P198" s="9">
        <v>3.0000000000000027E-2</v>
      </c>
      <c r="R198" s="70"/>
    </row>
    <row r="199" spans="1:18" ht="72" customHeight="1" thickBot="1">
      <c r="A199" s="948"/>
      <c r="B199" s="373"/>
      <c r="C199" s="373"/>
      <c r="E199" s="949"/>
      <c r="F199" s="949"/>
      <c r="G199" s="949"/>
      <c r="H199" s="949"/>
      <c r="I199" s="949"/>
      <c r="J199" s="949"/>
      <c r="K199" s="373"/>
      <c r="L199" s="373"/>
      <c r="M199" s="886"/>
    </row>
    <row r="200" spans="1:18" ht="21" customHeight="1" thickBot="1">
      <c r="A200" s="950" t="s">
        <v>140</v>
      </c>
      <c r="B200" s="621"/>
      <c r="C200" s="621"/>
      <c r="D200" s="621"/>
      <c r="E200" s="621"/>
      <c r="F200" s="621"/>
      <c r="G200" s="621"/>
      <c r="H200" s="621"/>
      <c r="I200" s="621"/>
      <c r="J200" s="621"/>
      <c r="K200" s="621"/>
      <c r="L200" s="621"/>
      <c r="M200" s="951"/>
    </row>
    <row r="201" spans="1:18" s="75" customFormat="1" ht="46.5" customHeight="1" thickBot="1">
      <c r="A201" s="938" t="s">
        <v>0</v>
      </c>
      <c r="B201" s="639" t="s">
        <v>5</v>
      </c>
      <c r="C201" s="640"/>
      <c r="D201" s="641"/>
      <c r="E201" s="485" t="s">
        <v>7</v>
      </c>
      <c r="F201" s="485" t="s">
        <v>16</v>
      </c>
      <c r="G201" s="485" t="s">
        <v>138</v>
      </c>
      <c r="H201" s="486" t="s">
        <v>8</v>
      </c>
      <c r="I201" s="485" t="s">
        <v>25</v>
      </c>
      <c r="J201" s="487" t="s">
        <v>164</v>
      </c>
      <c r="K201" s="373">
        <v>1.05</v>
      </c>
      <c r="L201" s="77" t="s">
        <v>119</v>
      </c>
      <c r="M201" s="939" t="s">
        <v>120</v>
      </c>
      <c r="N201" s="6" t="s">
        <v>114</v>
      </c>
      <c r="O201" s="6" t="s">
        <v>115</v>
      </c>
      <c r="P201" s="6" t="s">
        <v>116</v>
      </c>
      <c r="R201" s="68"/>
    </row>
    <row r="202" spans="1:18" ht="15" customHeight="1" thickBot="1">
      <c r="A202" s="881" t="s">
        <v>10</v>
      </c>
      <c r="B202" s="608"/>
      <c r="C202" s="608"/>
      <c r="D202" s="608"/>
      <c r="E202" s="608"/>
      <c r="F202" s="608"/>
      <c r="G202" s="608"/>
      <c r="H202" s="608"/>
      <c r="I202" s="608"/>
      <c r="J202" s="658"/>
      <c r="K202" s="374"/>
      <c r="L202" s="375">
        <v>0</v>
      </c>
      <c r="M202" s="916"/>
      <c r="N202" s="10" t="e">
        <v>#DIV/0!</v>
      </c>
      <c r="O202" s="11" t="e">
        <v>#DIV/0!</v>
      </c>
      <c r="P202" s="9" t="e">
        <v>#DIV/0!</v>
      </c>
      <c r="R202" s="70"/>
    </row>
    <row r="203" spans="1:18" ht="48" customHeight="1" thickBot="1">
      <c r="A203" s="884">
        <v>2</v>
      </c>
      <c r="B203" s="81"/>
      <c r="C203" s="1065" t="s">
        <v>6</v>
      </c>
      <c r="D203" s="115" t="s">
        <v>113</v>
      </c>
      <c r="E203" s="576" t="s">
        <v>129</v>
      </c>
      <c r="F203" s="576">
        <v>80</v>
      </c>
      <c r="G203" s="490">
        <v>11.52</v>
      </c>
      <c r="H203" s="491">
        <v>2159</v>
      </c>
      <c r="I203" s="519">
        <v>9</v>
      </c>
      <c r="J203" s="967">
        <v>1858</v>
      </c>
      <c r="K203" s="374"/>
      <c r="L203" s="375">
        <v>711.86</v>
      </c>
      <c r="M203" s="952">
        <v>800</v>
      </c>
      <c r="N203" s="10">
        <v>0.1</v>
      </c>
      <c r="O203" s="11">
        <v>0.03</v>
      </c>
      <c r="P203" s="9">
        <v>2.0000000000000018E-2</v>
      </c>
      <c r="R203" s="70">
        <f>855*1.1</f>
        <v>940.50000000000011</v>
      </c>
    </row>
    <row r="204" spans="1:18" ht="15.75" thickBot="1">
      <c r="A204" s="881" t="s">
        <v>2</v>
      </c>
      <c r="B204" s="608"/>
      <c r="C204" s="608"/>
      <c r="D204" s="608"/>
      <c r="E204" s="608"/>
      <c r="F204" s="608"/>
      <c r="G204" s="608"/>
      <c r="H204" s="608"/>
      <c r="I204" s="608"/>
      <c r="J204" s="715"/>
      <c r="K204" s="374"/>
      <c r="L204" s="375">
        <v>0</v>
      </c>
      <c r="M204" s="916"/>
      <c r="N204" s="10" t="e">
        <v>#DIV/0!</v>
      </c>
      <c r="O204" s="11" t="e">
        <v>#DIV/0!</v>
      </c>
      <c r="P204" s="9" t="e">
        <v>#DIV/0!</v>
      </c>
      <c r="R204" s="70"/>
    </row>
    <row r="205" spans="1:18" ht="18.75" customHeight="1">
      <c r="A205" s="953">
        <v>3</v>
      </c>
      <c r="B205" s="595"/>
      <c r="C205" s="1066" t="s">
        <v>6</v>
      </c>
      <c r="D205" s="109" t="s">
        <v>113</v>
      </c>
      <c r="E205" s="669" t="s">
        <v>17</v>
      </c>
      <c r="F205" s="494">
        <v>60</v>
      </c>
      <c r="G205" s="540">
        <v>12</v>
      </c>
      <c r="H205" s="541">
        <v>1654</v>
      </c>
      <c r="I205" s="577">
        <v>12</v>
      </c>
      <c r="J205" s="967">
        <v>1670</v>
      </c>
      <c r="K205" s="300"/>
      <c r="L205" s="301">
        <v>640.67999999999995</v>
      </c>
      <c r="M205" s="907">
        <v>720</v>
      </c>
      <c r="N205" s="10">
        <v>0.1</v>
      </c>
      <c r="O205" s="11">
        <v>0.03</v>
      </c>
      <c r="P205" s="9">
        <v>2.0000000000000018E-2</v>
      </c>
      <c r="R205" s="70">
        <f>769*1.1</f>
        <v>845.90000000000009</v>
      </c>
    </row>
    <row r="206" spans="1:18" ht="18.75" customHeight="1">
      <c r="A206" s="954"/>
      <c r="B206" s="601"/>
      <c r="C206" s="1067"/>
      <c r="D206" s="98" t="s">
        <v>113</v>
      </c>
      <c r="E206" s="670"/>
      <c r="F206" s="537">
        <v>70</v>
      </c>
      <c r="G206" s="543">
        <v>11</v>
      </c>
      <c r="H206" s="544">
        <v>1773</v>
      </c>
      <c r="I206" s="578">
        <v>11</v>
      </c>
      <c r="J206" s="967">
        <v>1766</v>
      </c>
      <c r="K206" s="302"/>
      <c r="L206" s="303">
        <v>676.27</v>
      </c>
      <c r="M206" s="926">
        <v>760</v>
      </c>
      <c r="N206" s="10">
        <v>0.1</v>
      </c>
      <c r="O206" s="11">
        <v>0.03</v>
      </c>
      <c r="P206" s="9">
        <v>2.0000000000000018E-2</v>
      </c>
      <c r="R206" s="70">
        <f>812*1.1</f>
        <v>893.2</v>
      </c>
    </row>
    <row r="207" spans="1:18" ht="19.5" customHeight="1" thickBot="1">
      <c r="A207" s="954"/>
      <c r="B207" s="597"/>
      <c r="C207" s="1068"/>
      <c r="D207" s="356" t="s">
        <v>113</v>
      </c>
      <c r="E207" s="670"/>
      <c r="F207" s="496">
        <v>80</v>
      </c>
      <c r="G207" s="579">
        <v>10</v>
      </c>
      <c r="H207" s="572">
        <v>1842</v>
      </c>
      <c r="I207" s="580">
        <v>10</v>
      </c>
      <c r="J207" s="974">
        <v>1973</v>
      </c>
      <c r="K207" s="304"/>
      <c r="L207" s="305">
        <v>756.78</v>
      </c>
      <c r="M207" s="947">
        <v>850</v>
      </c>
      <c r="N207" s="10">
        <v>0.1</v>
      </c>
      <c r="O207" s="11">
        <v>0.03</v>
      </c>
      <c r="P207" s="9">
        <v>2.0000000000000018E-2</v>
      </c>
      <c r="R207" s="70">
        <f>909*1.1</f>
        <v>999.90000000000009</v>
      </c>
    </row>
    <row r="208" spans="1:18" ht="18.75" customHeight="1">
      <c r="A208" s="954"/>
      <c r="B208" s="610"/>
      <c r="C208" s="1069" t="s">
        <v>12</v>
      </c>
      <c r="D208" s="109" t="s">
        <v>113</v>
      </c>
      <c r="E208" s="670"/>
      <c r="F208" s="494">
        <v>60</v>
      </c>
      <c r="G208" s="540">
        <v>12</v>
      </c>
      <c r="H208" s="541">
        <v>1654</v>
      </c>
      <c r="I208" s="577">
        <v>12</v>
      </c>
      <c r="J208" s="994">
        <v>2061</v>
      </c>
      <c r="K208" s="300"/>
      <c r="L208" s="301">
        <v>783.05</v>
      </c>
      <c r="M208" s="907">
        <v>880</v>
      </c>
      <c r="N208" s="10">
        <v>0.15</v>
      </c>
      <c r="O208" s="11">
        <v>0.05</v>
      </c>
      <c r="P208" s="9">
        <v>3.0000000000000027E-2</v>
      </c>
      <c r="R208" s="70">
        <f>940*1.1</f>
        <v>1034</v>
      </c>
    </row>
    <row r="209" spans="1:18" ht="18.75" customHeight="1">
      <c r="A209" s="954"/>
      <c r="B209" s="596"/>
      <c r="C209" s="1070"/>
      <c r="D209" s="98" t="s">
        <v>113</v>
      </c>
      <c r="E209" s="670"/>
      <c r="F209" s="537">
        <v>70</v>
      </c>
      <c r="G209" s="543">
        <v>11</v>
      </c>
      <c r="H209" s="544">
        <v>1773</v>
      </c>
      <c r="I209" s="578">
        <v>11</v>
      </c>
      <c r="J209" s="967">
        <v>2113</v>
      </c>
      <c r="K209" s="302"/>
      <c r="L209" s="303">
        <v>800.85</v>
      </c>
      <c r="M209" s="926">
        <v>900</v>
      </c>
      <c r="N209" s="10">
        <v>0.15</v>
      </c>
      <c r="O209" s="11">
        <v>0.05</v>
      </c>
      <c r="P209" s="9">
        <v>3.0000000000000027E-2</v>
      </c>
      <c r="R209" s="70">
        <f>961*1.1</f>
        <v>1057.1000000000001</v>
      </c>
    </row>
    <row r="210" spans="1:18" ht="19.5" customHeight="1" thickBot="1">
      <c r="A210" s="954"/>
      <c r="B210" s="597"/>
      <c r="C210" s="1071"/>
      <c r="D210" s="100" t="s">
        <v>113</v>
      </c>
      <c r="E210" s="670"/>
      <c r="F210" s="496">
        <v>80</v>
      </c>
      <c r="G210" s="579">
        <v>10</v>
      </c>
      <c r="H210" s="572">
        <v>1842</v>
      </c>
      <c r="I210" s="580">
        <v>10</v>
      </c>
      <c r="J210" s="974">
        <v>2155</v>
      </c>
      <c r="K210" s="304"/>
      <c r="L210" s="305">
        <v>818.64</v>
      </c>
      <c r="M210" s="947">
        <v>920</v>
      </c>
      <c r="N210" s="10">
        <v>0.15</v>
      </c>
      <c r="O210" s="11">
        <v>0.05</v>
      </c>
      <c r="P210" s="9">
        <v>3.0000000000000027E-2</v>
      </c>
      <c r="R210" s="70">
        <f>982*1.1</f>
        <v>1080.2</v>
      </c>
    </row>
    <row r="211" spans="1:18" ht="18.75" customHeight="1">
      <c r="A211" s="954"/>
      <c r="B211" s="610"/>
      <c r="C211" s="1072" t="s">
        <v>13</v>
      </c>
      <c r="D211" s="109" t="s">
        <v>113</v>
      </c>
      <c r="E211" s="670"/>
      <c r="F211" s="494">
        <v>60</v>
      </c>
      <c r="G211" s="540">
        <v>12</v>
      </c>
      <c r="H211" s="541">
        <v>1654</v>
      </c>
      <c r="I211" s="577">
        <v>12</v>
      </c>
      <c r="J211" s="994">
        <v>2061</v>
      </c>
      <c r="K211" s="300"/>
      <c r="L211" s="301">
        <v>783.05</v>
      </c>
      <c r="M211" s="907">
        <v>880</v>
      </c>
      <c r="N211" s="10">
        <v>0.15</v>
      </c>
      <c r="O211" s="11">
        <v>0.05</v>
      </c>
      <c r="P211" s="9">
        <v>3.0000000000000027E-2</v>
      </c>
      <c r="R211" s="70"/>
    </row>
    <row r="212" spans="1:18" ht="18.75" customHeight="1">
      <c r="A212" s="954"/>
      <c r="B212" s="614"/>
      <c r="C212" s="1070"/>
      <c r="D212" s="98" t="s">
        <v>113</v>
      </c>
      <c r="E212" s="670"/>
      <c r="F212" s="537">
        <v>70</v>
      </c>
      <c r="G212" s="543">
        <v>11</v>
      </c>
      <c r="H212" s="544">
        <v>1773</v>
      </c>
      <c r="I212" s="578">
        <v>11</v>
      </c>
      <c r="J212" s="967">
        <v>2113</v>
      </c>
      <c r="K212" s="302"/>
      <c r="L212" s="303">
        <v>800.85</v>
      </c>
      <c r="M212" s="926">
        <v>900</v>
      </c>
      <c r="N212" s="10">
        <v>0.15</v>
      </c>
      <c r="O212" s="11">
        <v>0.05</v>
      </c>
      <c r="P212" s="9">
        <v>3.0000000000000027E-2</v>
      </c>
      <c r="R212" s="70"/>
    </row>
    <row r="213" spans="1:18" ht="20.25" customHeight="1" thickBot="1">
      <c r="A213" s="954"/>
      <c r="B213" s="615"/>
      <c r="C213" s="1073"/>
      <c r="D213" s="100" t="s">
        <v>113</v>
      </c>
      <c r="E213" s="670"/>
      <c r="F213" s="496">
        <v>80</v>
      </c>
      <c r="G213" s="579">
        <v>10</v>
      </c>
      <c r="H213" s="572">
        <v>1842</v>
      </c>
      <c r="I213" s="580">
        <v>10</v>
      </c>
      <c r="J213" s="974">
        <v>2155</v>
      </c>
      <c r="K213" s="304"/>
      <c r="L213" s="305">
        <v>818.64</v>
      </c>
      <c r="M213" s="947">
        <v>920</v>
      </c>
      <c r="N213" s="10">
        <v>0.15</v>
      </c>
      <c r="O213" s="11">
        <v>0.05</v>
      </c>
      <c r="P213" s="9">
        <v>3.0000000000000027E-2</v>
      </c>
      <c r="R213" s="70"/>
    </row>
    <row r="214" spans="1:18" ht="18.75" customHeight="1">
      <c r="A214" s="954"/>
      <c r="B214" s="595"/>
      <c r="C214" s="1066" t="s">
        <v>28</v>
      </c>
      <c r="D214" s="348" t="s">
        <v>113</v>
      </c>
      <c r="E214" s="670"/>
      <c r="F214" s="494">
        <v>60</v>
      </c>
      <c r="G214" s="540">
        <v>12</v>
      </c>
      <c r="H214" s="541">
        <v>1654</v>
      </c>
      <c r="I214" s="577">
        <v>12</v>
      </c>
      <c r="J214" s="994">
        <v>2061</v>
      </c>
      <c r="K214" s="300"/>
      <c r="L214" s="301">
        <v>783.05</v>
      </c>
      <c r="M214" s="907">
        <v>880</v>
      </c>
      <c r="N214" s="10">
        <v>0.15</v>
      </c>
      <c r="O214" s="11">
        <v>0.05</v>
      </c>
      <c r="P214" s="9">
        <v>3.0000000000000027E-2</v>
      </c>
      <c r="R214" s="70"/>
    </row>
    <row r="215" spans="1:18" ht="18.75" customHeight="1">
      <c r="A215" s="954"/>
      <c r="B215" s="596"/>
      <c r="C215" s="1067"/>
      <c r="D215" s="98" t="s">
        <v>113</v>
      </c>
      <c r="E215" s="670"/>
      <c r="F215" s="537">
        <v>70</v>
      </c>
      <c r="G215" s="543">
        <v>11</v>
      </c>
      <c r="H215" s="544">
        <v>1773</v>
      </c>
      <c r="I215" s="578">
        <v>11</v>
      </c>
      <c r="J215" s="967">
        <v>2113</v>
      </c>
      <c r="K215" s="302"/>
      <c r="L215" s="303">
        <v>800.85</v>
      </c>
      <c r="M215" s="926">
        <v>900</v>
      </c>
      <c r="N215" s="10">
        <v>0.15</v>
      </c>
      <c r="O215" s="11">
        <v>0.05</v>
      </c>
      <c r="P215" s="9">
        <v>3.0000000000000027E-2</v>
      </c>
      <c r="R215" s="70"/>
    </row>
    <row r="216" spans="1:18" ht="19.5" customHeight="1" thickBot="1">
      <c r="A216" s="955"/>
      <c r="B216" s="597"/>
      <c r="C216" s="1068"/>
      <c r="D216" s="100" t="s">
        <v>113</v>
      </c>
      <c r="E216" s="671"/>
      <c r="F216" s="496">
        <v>80</v>
      </c>
      <c r="G216" s="579">
        <v>10</v>
      </c>
      <c r="H216" s="572">
        <v>1842</v>
      </c>
      <c r="I216" s="580">
        <v>10</v>
      </c>
      <c r="J216" s="967">
        <v>2155</v>
      </c>
      <c r="K216" s="304"/>
      <c r="L216" s="305">
        <v>818.64</v>
      </c>
      <c r="M216" s="947">
        <v>920</v>
      </c>
      <c r="N216" s="10">
        <v>0.15</v>
      </c>
      <c r="O216" s="11">
        <v>0.05</v>
      </c>
      <c r="P216" s="9">
        <v>3.0000000000000027E-2</v>
      </c>
      <c r="R216" s="70"/>
    </row>
    <row r="217" spans="1:18" ht="16.5" customHeight="1" thickBot="1">
      <c r="A217" s="881" t="s">
        <v>81</v>
      </c>
      <c r="B217" s="608"/>
      <c r="C217" s="608"/>
      <c r="D217" s="608"/>
      <c r="E217" s="608"/>
      <c r="F217" s="608"/>
      <c r="G217" s="608"/>
      <c r="H217" s="608"/>
      <c r="I217" s="608"/>
      <c r="J217" s="715"/>
      <c r="K217" s="374"/>
      <c r="L217" s="375">
        <v>0</v>
      </c>
      <c r="M217" s="956"/>
      <c r="N217" s="10" t="e">
        <v>#DIV/0!</v>
      </c>
      <c r="O217" s="11" t="e">
        <v>#DIV/0!</v>
      </c>
      <c r="P217" s="9" t="e">
        <v>#DIV/0!</v>
      </c>
      <c r="R217" s="70"/>
    </row>
    <row r="218" spans="1:18" ht="41.25" customHeight="1">
      <c r="A218" s="957">
        <v>4</v>
      </c>
      <c r="B218" s="126"/>
      <c r="C218" s="1074" t="s">
        <v>6</v>
      </c>
      <c r="D218" s="109" t="s">
        <v>113</v>
      </c>
      <c r="E218" s="581" t="s">
        <v>41</v>
      </c>
      <c r="F218" s="633">
        <v>60</v>
      </c>
      <c r="G218" s="561">
        <v>10.38</v>
      </c>
      <c r="H218" s="562">
        <v>1448</v>
      </c>
      <c r="I218" s="563">
        <v>13</v>
      </c>
      <c r="J218" s="967">
        <v>1950</v>
      </c>
      <c r="K218" s="300"/>
      <c r="L218" s="301">
        <v>747.46</v>
      </c>
      <c r="M218" s="907">
        <v>840</v>
      </c>
      <c r="N218" s="10">
        <v>0.1</v>
      </c>
      <c r="O218" s="11">
        <v>0.03</v>
      </c>
      <c r="P218" s="9">
        <v>2.0000000000000018E-2</v>
      </c>
      <c r="R218" s="70">
        <f>897*1.1</f>
        <v>986.7</v>
      </c>
    </row>
    <row r="219" spans="1:18" ht="42" customHeight="1" thickBot="1">
      <c r="A219" s="846"/>
      <c r="B219" s="127"/>
      <c r="C219" s="1075" t="s">
        <v>12</v>
      </c>
      <c r="D219" s="100" t="s">
        <v>113</v>
      </c>
      <c r="E219" s="575" t="s">
        <v>41</v>
      </c>
      <c r="F219" s="635"/>
      <c r="G219" s="571">
        <v>10.38</v>
      </c>
      <c r="H219" s="572">
        <v>1448</v>
      </c>
      <c r="I219" s="573">
        <v>13</v>
      </c>
      <c r="J219" s="967">
        <v>2044</v>
      </c>
      <c r="K219" s="304"/>
      <c r="L219" s="305">
        <v>774.58</v>
      </c>
      <c r="M219" s="947">
        <v>870</v>
      </c>
      <c r="N219" s="10">
        <v>0.15</v>
      </c>
      <c r="O219" s="11">
        <v>0.05</v>
      </c>
      <c r="P219" s="9">
        <v>3.0000000000000027E-2</v>
      </c>
      <c r="R219" s="70">
        <f>930*1.1</f>
        <v>1023.0000000000001</v>
      </c>
    </row>
    <row r="220" spans="1:18" ht="16.5" thickBot="1">
      <c r="A220" s="879" t="s">
        <v>9</v>
      </c>
      <c r="B220" s="631"/>
      <c r="C220" s="631"/>
      <c r="D220" s="631"/>
      <c r="E220" s="631"/>
      <c r="F220" s="631"/>
      <c r="G220" s="631"/>
      <c r="H220" s="631"/>
      <c r="I220" s="631"/>
      <c r="J220" s="995"/>
      <c r="K220" s="374"/>
      <c r="L220" s="375">
        <v>0</v>
      </c>
      <c r="M220" s="880"/>
      <c r="N220" s="10" t="e">
        <v>#DIV/0!</v>
      </c>
      <c r="O220" s="11" t="e">
        <v>#DIV/0!</v>
      </c>
      <c r="P220" s="9" t="e">
        <v>#DIV/0!</v>
      </c>
      <c r="R220" s="70"/>
    </row>
    <row r="221" spans="1:18" ht="15.75" thickBot="1">
      <c r="A221" s="932" t="s">
        <v>27</v>
      </c>
      <c r="B221" s="658"/>
      <c r="C221" s="658"/>
      <c r="D221" s="658"/>
      <c r="E221" s="658"/>
      <c r="F221" s="658"/>
      <c r="G221" s="658"/>
      <c r="H221" s="658"/>
      <c r="I221" s="658"/>
      <c r="J221" s="658"/>
      <c r="K221" s="374"/>
      <c r="L221" s="375">
        <v>0</v>
      </c>
      <c r="M221" s="916"/>
      <c r="N221" s="10" t="e">
        <v>#DIV/0!</v>
      </c>
      <c r="O221" s="11" t="e">
        <v>#DIV/0!</v>
      </c>
      <c r="P221" s="9" t="e">
        <v>#DIV/0!</v>
      </c>
      <c r="R221" s="70"/>
    </row>
    <row r="222" spans="1:18" ht="57" customHeight="1" thickBot="1">
      <c r="A222" s="887">
        <v>1</v>
      </c>
      <c r="B222" s="466"/>
      <c r="C222" s="1076" t="s">
        <v>98</v>
      </c>
      <c r="D222" s="109" t="s">
        <v>113</v>
      </c>
      <c r="E222" s="718" t="s">
        <v>22</v>
      </c>
      <c r="F222" s="647">
        <v>160</v>
      </c>
      <c r="G222" s="645">
        <v>5</v>
      </c>
      <c r="H222" s="626">
        <v>1887</v>
      </c>
      <c r="I222" s="665">
        <v>10</v>
      </c>
      <c r="J222" s="974">
        <v>3131</v>
      </c>
      <c r="K222" s="374"/>
      <c r="L222" s="375">
        <v>1266.0999999999999</v>
      </c>
      <c r="M222" s="952">
        <v>1450</v>
      </c>
      <c r="N222" s="10">
        <v>0.15</v>
      </c>
      <c r="O222" s="11">
        <v>0.05</v>
      </c>
      <c r="P222" s="9">
        <v>4.0000000000000036E-2</v>
      </c>
      <c r="R222" s="70">
        <f>1520*1.1</f>
        <v>1672.0000000000002</v>
      </c>
    </row>
    <row r="223" spans="1:18" ht="57" customHeight="1" thickBot="1">
      <c r="A223" s="908"/>
      <c r="B223" s="123"/>
      <c r="C223" s="1077" t="s">
        <v>87</v>
      </c>
      <c r="D223" s="98" t="s">
        <v>113</v>
      </c>
      <c r="E223" s="719"/>
      <c r="F223" s="649"/>
      <c r="G223" s="646"/>
      <c r="H223" s="628"/>
      <c r="I223" s="667"/>
      <c r="J223" s="991">
        <v>3131</v>
      </c>
      <c r="K223" s="374"/>
      <c r="L223" s="375">
        <v>1266.0999999999999</v>
      </c>
      <c r="M223" s="958">
        <v>1450</v>
      </c>
      <c r="N223" s="10">
        <v>0.15</v>
      </c>
      <c r="O223" s="11">
        <v>0.05</v>
      </c>
      <c r="P223" s="9">
        <v>4.0000000000000036E-2</v>
      </c>
      <c r="R223" s="70"/>
    </row>
    <row r="224" spans="1:18" ht="57" customHeight="1" thickBot="1">
      <c r="A224" s="908"/>
      <c r="B224" s="123"/>
      <c r="C224" s="1077" t="s">
        <v>85</v>
      </c>
      <c r="D224" s="98" t="s">
        <v>113</v>
      </c>
      <c r="E224" s="719"/>
      <c r="F224" s="649"/>
      <c r="G224" s="646"/>
      <c r="H224" s="628"/>
      <c r="I224" s="667"/>
      <c r="J224" s="991">
        <v>3131</v>
      </c>
      <c r="K224" s="374"/>
      <c r="L224" s="375">
        <v>1266.0999999999999</v>
      </c>
      <c r="M224" s="952">
        <v>1450</v>
      </c>
      <c r="N224" s="10">
        <v>0.15</v>
      </c>
      <c r="O224" s="11">
        <v>0.05</v>
      </c>
      <c r="P224" s="9">
        <v>4.0000000000000036E-2</v>
      </c>
      <c r="R224" s="70"/>
    </row>
    <row r="225" spans="1:18" ht="57" customHeight="1" thickBot="1">
      <c r="A225" s="908"/>
      <c r="B225" s="474"/>
      <c r="C225" s="1077" t="s">
        <v>83</v>
      </c>
      <c r="D225" s="98" t="s">
        <v>113</v>
      </c>
      <c r="E225" s="719"/>
      <c r="F225" s="649"/>
      <c r="G225" s="646"/>
      <c r="H225" s="628"/>
      <c r="I225" s="667"/>
      <c r="J225" s="991">
        <v>3131</v>
      </c>
      <c r="K225" s="374"/>
      <c r="L225" s="375">
        <v>1266.0999999999999</v>
      </c>
      <c r="M225" s="952">
        <v>1450</v>
      </c>
      <c r="N225" s="10">
        <v>0.15</v>
      </c>
      <c r="O225" s="11">
        <v>0.05</v>
      </c>
      <c r="P225" s="9">
        <v>4.0000000000000036E-2</v>
      </c>
      <c r="R225" s="70"/>
    </row>
    <row r="226" spans="1:18" ht="57" customHeight="1" thickBot="1">
      <c r="A226" s="889"/>
      <c r="B226" s="467"/>
      <c r="C226" s="1078" t="s">
        <v>6</v>
      </c>
      <c r="D226" s="100" t="s">
        <v>113</v>
      </c>
      <c r="E226" s="575" t="s">
        <v>26</v>
      </c>
      <c r="F226" s="650"/>
      <c r="G226" s="571">
        <v>4.8</v>
      </c>
      <c r="H226" s="572">
        <v>1818</v>
      </c>
      <c r="I226" s="573">
        <v>11</v>
      </c>
      <c r="J226" s="994">
        <v>3317</v>
      </c>
      <c r="K226" s="374"/>
      <c r="L226" s="375">
        <v>1423.73</v>
      </c>
      <c r="M226" s="896">
        <v>1600</v>
      </c>
      <c r="N226" s="10">
        <v>0.15</v>
      </c>
      <c r="O226" s="11">
        <v>0.05</v>
      </c>
      <c r="P226" s="9">
        <v>2.0000000000000018E-2</v>
      </c>
      <c r="R226" s="70">
        <f>1709*1.1</f>
        <v>1879.9</v>
      </c>
    </row>
    <row r="227" spans="1:18" s="75" customFormat="1" ht="16.5" thickBot="1">
      <c r="A227" s="879" t="s">
        <v>1</v>
      </c>
      <c r="B227" s="631"/>
      <c r="C227" s="631"/>
      <c r="D227" s="631"/>
      <c r="E227" s="631"/>
      <c r="F227" s="631"/>
      <c r="G227" s="631"/>
      <c r="H227" s="631"/>
      <c r="I227" s="631"/>
      <c r="J227" s="995"/>
      <c r="K227" s="374"/>
      <c r="L227" s="375">
        <v>0</v>
      </c>
      <c r="M227" s="880"/>
      <c r="N227" s="89" t="e">
        <v>#DIV/0!</v>
      </c>
      <c r="O227" s="90" t="e">
        <v>#DIV/0!</v>
      </c>
      <c r="P227" s="88" t="e">
        <v>#DIV/0!</v>
      </c>
      <c r="R227" s="140"/>
    </row>
    <row r="228" spans="1:18" s="75" customFormat="1" ht="15.75" customHeight="1" thickBot="1">
      <c r="A228" s="881" t="s">
        <v>31</v>
      </c>
      <c r="B228" s="608"/>
      <c r="C228" s="608"/>
      <c r="D228" s="608"/>
      <c r="E228" s="608"/>
      <c r="F228" s="608"/>
      <c r="G228" s="608"/>
      <c r="H228" s="608"/>
      <c r="I228" s="608"/>
      <c r="J228" s="658"/>
      <c r="K228" s="374"/>
      <c r="L228" s="375">
        <v>0</v>
      </c>
      <c r="M228" s="941"/>
      <c r="N228" s="89" t="e">
        <v>#DIV/0!</v>
      </c>
      <c r="O228" s="90" t="e">
        <v>#DIV/0!</v>
      </c>
      <c r="P228" s="88" t="e">
        <v>#DIV/0!</v>
      </c>
      <c r="R228" s="140"/>
    </row>
    <row r="229" spans="1:18" s="75" customFormat="1" ht="53.25" customHeight="1" thickBot="1">
      <c r="A229" s="959">
        <v>1</v>
      </c>
      <c r="B229" s="310"/>
      <c r="C229" s="1079" t="s">
        <v>6</v>
      </c>
      <c r="D229" s="109" t="s">
        <v>113</v>
      </c>
      <c r="E229" s="581" t="s">
        <v>19</v>
      </c>
      <c r="F229" s="489" t="s">
        <v>55</v>
      </c>
      <c r="G229" s="561">
        <v>8</v>
      </c>
      <c r="H229" s="562">
        <v>1702</v>
      </c>
      <c r="I229" s="563">
        <v>11</v>
      </c>
      <c r="J229" s="967">
        <v>2174</v>
      </c>
      <c r="K229" s="374"/>
      <c r="L229" s="375">
        <v>751.69</v>
      </c>
      <c r="M229" s="907">
        <v>845</v>
      </c>
      <c r="N229" s="89">
        <v>0.2</v>
      </c>
      <c r="O229" s="90">
        <v>0.1</v>
      </c>
      <c r="P229" s="88">
        <v>0.02</v>
      </c>
      <c r="R229" s="140">
        <f>902*1.1</f>
        <v>992.2</v>
      </c>
    </row>
    <row r="230" spans="1:18" ht="16.5" thickBot="1">
      <c r="A230" s="879" t="s">
        <v>72</v>
      </c>
      <c r="B230" s="631"/>
      <c r="C230" s="631"/>
      <c r="D230" s="631"/>
      <c r="E230" s="631"/>
      <c r="F230" s="631"/>
      <c r="G230" s="631"/>
      <c r="H230" s="631"/>
      <c r="I230" s="631"/>
      <c r="J230" s="995"/>
      <c r="K230" s="374"/>
      <c r="L230" s="375">
        <v>0</v>
      </c>
      <c r="M230" s="960"/>
      <c r="N230" s="10" t="e">
        <v>#DIV/0!</v>
      </c>
      <c r="O230" s="11" t="e">
        <v>#DIV/0!</v>
      </c>
      <c r="P230" s="9" t="e">
        <v>#DIV/0!</v>
      </c>
      <c r="R230" s="70"/>
    </row>
    <row r="231" spans="1:18" ht="15.75" thickBot="1">
      <c r="A231" s="932" t="s">
        <v>77</v>
      </c>
      <c r="B231" s="658"/>
      <c r="C231" s="658"/>
      <c r="D231" s="658"/>
      <c r="E231" s="658"/>
      <c r="F231" s="658"/>
      <c r="G231" s="658"/>
      <c r="H231" s="658"/>
      <c r="I231" s="658"/>
      <c r="J231" s="658"/>
      <c r="K231" s="374"/>
      <c r="L231" s="375">
        <v>0</v>
      </c>
      <c r="M231" s="961"/>
      <c r="N231" s="10" t="e">
        <v>#DIV/0!</v>
      </c>
      <c r="O231" s="11" t="e">
        <v>#DIV/0!</v>
      </c>
      <c r="P231" s="9" t="e">
        <v>#DIV/0!</v>
      </c>
      <c r="R231" s="70"/>
    </row>
    <row r="232" spans="1:18" ht="51" customHeight="1">
      <c r="A232" s="962">
        <v>1</v>
      </c>
      <c r="B232" s="448"/>
      <c r="C232" s="1080" t="s">
        <v>73</v>
      </c>
      <c r="D232" s="109" t="s">
        <v>113</v>
      </c>
      <c r="E232" s="581" t="s">
        <v>74</v>
      </c>
      <c r="F232" s="583"/>
      <c r="G232" s="561">
        <v>120</v>
      </c>
      <c r="H232" s="503">
        <v>1260</v>
      </c>
      <c r="I232" s="563">
        <v>15</v>
      </c>
      <c r="J232" s="584">
        <v>103</v>
      </c>
      <c r="K232" s="374"/>
      <c r="L232" s="375">
        <v>38.979999999999997</v>
      </c>
      <c r="M232" s="475">
        <v>46</v>
      </c>
      <c r="N232" s="10">
        <v>0.11</v>
      </c>
      <c r="O232" s="11">
        <v>0.06</v>
      </c>
      <c r="P232" s="9">
        <v>0.02</v>
      </c>
      <c r="R232" s="70">
        <f>47*1.1</f>
        <v>51.7</v>
      </c>
    </row>
    <row r="233" spans="1:18" ht="51.75" customHeight="1">
      <c r="A233" s="963">
        <v>2</v>
      </c>
      <c r="B233" s="430"/>
      <c r="C233" s="1081" t="s">
        <v>75</v>
      </c>
      <c r="D233" s="98" t="s">
        <v>113</v>
      </c>
      <c r="E233" s="582" t="s">
        <v>74</v>
      </c>
      <c r="F233" s="964"/>
      <c r="G233" s="568">
        <v>120</v>
      </c>
      <c r="H233" s="569" t="s">
        <v>76</v>
      </c>
      <c r="I233" s="570">
        <v>22</v>
      </c>
      <c r="J233" s="965">
        <v>105</v>
      </c>
      <c r="K233" s="300"/>
      <c r="L233" s="301">
        <v>38.14</v>
      </c>
      <c r="M233" s="966">
        <v>45</v>
      </c>
      <c r="N233" s="10">
        <v>0.11</v>
      </c>
      <c r="O233" s="11">
        <v>0.08</v>
      </c>
      <c r="P233" s="9">
        <v>0.02</v>
      </c>
      <c r="R233" s="70">
        <f>46*1.1</f>
        <v>50.6</v>
      </c>
    </row>
    <row r="235" spans="1:18" s="446" customFormat="1" ht="22.5" customHeight="1">
      <c r="A235" s="449"/>
      <c r="B235" s="444" t="s">
        <v>148</v>
      </c>
      <c r="C235" s="444"/>
      <c r="D235" s="444"/>
      <c r="E235" s="585"/>
      <c r="F235" s="585"/>
      <c r="G235" s="585"/>
      <c r="H235" s="585"/>
      <c r="I235" s="585"/>
      <c r="J235" s="585"/>
      <c r="K235" s="444"/>
      <c r="L235" s="444"/>
      <c r="M235" s="445"/>
      <c r="R235" s="447"/>
    </row>
  </sheetData>
  <sheetProtection formatCells="0" formatColumns="0" formatRows="0" insertRows="0" insertHyperlinks="0" deleteColumns="0" deleteRows="0" sort="0" autoFilter="0" pivotTables="0"/>
  <mergeCells count="176">
    <mergeCell ref="B7:D7"/>
    <mergeCell ref="A8:J8"/>
    <mergeCell ref="A11:J11"/>
    <mergeCell ref="A9:J9"/>
    <mergeCell ref="E12:E13"/>
    <mergeCell ref="I15:I20"/>
    <mergeCell ref="A12:A13"/>
    <mergeCell ref="A14:J14"/>
    <mergeCell ref="A15:A27"/>
    <mergeCell ref="G15:G20"/>
    <mergeCell ref="M25:M27"/>
    <mergeCell ref="J25:J27"/>
    <mergeCell ref="F15:F27"/>
    <mergeCell ref="A34:A38"/>
    <mergeCell ref="E34:E38"/>
    <mergeCell ref="M16:M23"/>
    <mergeCell ref="I21:I27"/>
    <mergeCell ref="A28:J28"/>
    <mergeCell ref="F29:F32"/>
    <mergeCell ref="H29:H32"/>
    <mergeCell ref="G29:G32"/>
    <mergeCell ref="I29:I32"/>
    <mergeCell ref="E29:E32"/>
    <mergeCell ref="L16:L23"/>
    <mergeCell ref="L25:L27"/>
    <mergeCell ref="E15:E20"/>
    <mergeCell ref="A33:J33"/>
    <mergeCell ref="H21:H27"/>
    <mergeCell ref="H15:H20"/>
    <mergeCell ref="G21:G27"/>
    <mergeCell ref="W1:Z1"/>
    <mergeCell ref="W2:Z2"/>
    <mergeCell ref="W3:Z3"/>
    <mergeCell ref="W4:Z4"/>
    <mergeCell ref="A5:J5"/>
    <mergeCell ref="A6:J6"/>
    <mergeCell ref="A231:J231"/>
    <mergeCell ref="C88:C89"/>
    <mergeCell ref="C74:C75"/>
    <mergeCell ref="E74:E101"/>
    <mergeCell ref="A120:J120"/>
    <mergeCell ref="A127:J127"/>
    <mergeCell ref="C94:C95"/>
    <mergeCell ref="C144:C145"/>
    <mergeCell ref="A204:J204"/>
    <mergeCell ref="A50:J50"/>
    <mergeCell ref="F34:F38"/>
    <mergeCell ref="E21:E27"/>
    <mergeCell ref="F44:F49"/>
    <mergeCell ref="F40:F42"/>
    <mergeCell ref="J16:J24"/>
    <mergeCell ref="A29:A32"/>
    <mergeCell ref="A68:A101"/>
    <mergeCell ref="A230:J230"/>
    <mergeCell ref="E40:E42"/>
    <mergeCell ref="A65:J65"/>
    <mergeCell ref="F222:F226"/>
    <mergeCell ref="E146:E147"/>
    <mergeCell ref="C72:C73"/>
    <mergeCell ref="A169:J169"/>
    <mergeCell ref="B140:B142"/>
    <mergeCell ref="C140:C143"/>
    <mergeCell ref="A156:J156"/>
    <mergeCell ref="B148:B149"/>
    <mergeCell ref="C164:C165"/>
    <mergeCell ref="I222:I225"/>
    <mergeCell ref="A221:J221"/>
    <mergeCell ref="E222:E225"/>
    <mergeCell ref="A222:A226"/>
    <mergeCell ref="A220:J220"/>
    <mergeCell ref="C214:C216"/>
    <mergeCell ref="A218:A219"/>
    <mergeCell ref="E68:E73"/>
    <mergeCell ref="B70:B71"/>
    <mergeCell ref="A135:A138"/>
    <mergeCell ref="C84:C85"/>
    <mergeCell ref="E121:E125"/>
    <mergeCell ref="C98:C99"/>
    <mergeCell ref="F128:F129"/>
    <mergeCell ref="F131:F133"/>
    <mergeCell ref="B157:B159"/>
    <mergeCell ref="A157:A168"/>
    <mergeCell ref="B162:B163"/>
    <mergeCell ref="B173:D173"/>
    <mergeCell ref="A39:J39"/>
    <mergeCell ref="A51:A52"/>
    <mergeCell ref="F54:F64"/>
    <mergeCell ref="E44:E49"/>
    <mergeCell ref="A128:A129"/>
    <mergeCell ref="A130:J130"/>
    <mergeCell ref="A131:A133"/>
    <mergeCell ref="E131:E133"/>
    <mergeCell ref="E51:E52"/>
    <mergeCell ref="A43:J43"/>
    <mergeCell ref="A40:A42"/>
    <mergeCell ref="A67:J67"/>
    <mergeCell ref="A54:A64"/>
    <mergeCell ref="E54:E57"/>
    <mergeCell ref="E62:E64"/>
    <mergeCell ref="F51:F52"/>
    <mergeCell ref="A53:J53"/>
    <mergeCell ref="E58:E61"/>
    <mergeCell ref="A44:A49"/>
    <mergeCell ref="E128:E129"/>
    <mergeCell ref="A139:J139"/>
    <mergeCell ref="C150:C151"/>
    <mergeCell ref="C68:C69"/>
    <mergeCell ref="C82:C83"/>
    <mergeCell ref="B72:B73"/>
    <mergeCell ref="C100:C101"/>
    <mergeCell ref="B68:B69"/>
    <mergeCell ref="C70:C71"/>
    <mergeCell ref="C92:C93"/>
    <mergeCell ref="C80:C81"/>
    <mergeCell ref="C96:C97"/>
    <mergeCell ref="C78:C79"/>
    <mergeCell ref="A121:A126"/>
    <mergeCell ref="F121:F126"/>
    <mergeCell ref="A140:A155"/>
    <mergeCell ref="C90:C91"/>
    <mergeCell ref="C86:C87"/>
    <mergeCell ref="C76:C77"/>
    <mergeCell ref="E148:E149"/>
    <mergeCell ref="A102:J102"/>
    <mergeCell ref="A103:A119"/>
    <mergeCell ref="E103:E119"/>
    <mergeCell ref="A134:J134"/>
    <mergeCell ref="E150:E151"/>
    <mergeCell ref="A228:J228"/>
    <mergeCell ref="A195:A198"/>
    <mergeCell ref="A227:J227"/>
    <mergeCell ref="B201:D201"/>
    <mergeCell ref="H188:H193"/>
    <mergeCell ref="F218:F219"/>
    <mergeCell ref="H222:H225"/>
    <mergeCell ref="G222:G225"/>
    <mergeCell ref="E177:E186"/>
    <mergeCell ref="A187:J187"/>
    <mergeCell ref="A177:A186"/>
    <mergeCell ref="A194:J194"/>
    <mergeCell ref="I188:I193"/>
    <mergeCell ref="G177:G186"/>
    <mergeCell ref="G188:G193"/>
    <mergeCell ref="A188:A193"/>
    <mergeCell ref="I177:I186"/>
    <mergeCell ref="E205:E216"/>
    <mergeCell ref="C211:C213"/>
    <mergeCell ref="E188:E193"/>
    <mergeCell ref="F195:F198"/>
    <mergeCell ref="A217:J217"/>
    <mergeCell ref="C205:C207"/>
    <mergeCell ref="F177:F186"/>
    <mergeCell ref="E140:E142"/>
    <mergeCell ref="E144:E145"/>
    <mergeCell ref="B144:B145"/>
    <mergeCell ref="C148:C149"/>
    <mergeCell ref="C146:C147"/>
    <mergeCell ref="B214:B216"/>
    <mergeCell ref="A205:A216"/>
    <mergeCell ref="B205:B207"/>
    <mergeCell ref="C157:C159"/>
    <mergeCell ref="B150:B151"/>
    <mergeCell ref="A174:J174"/>
    <mergeCell ref="B208:B210"/>
    <mergeCell ref="C208:C210"/>
    <mergeCell ref="B211:B213"/>
    <mergeCell ref="B160:B161"/>
    <mergeCell ref="A202:J202"/>
    <mergeCell ref="C160:C161"/>
    <mergeCell ref="A200:M200"/>
    <mergeCell ref="F188:F193"/>
    <mergeCell ref="A176:J176"/>
    <mergeCell ref="H177:H186"/>
    <mergeCell ref="A172:J172"/>
    <mergeCell ref="C162:C163"/>
    <mergeCell ref="F157:F168"/>
  </mergeCells>
  <pageMargins left="0.25" right="0.25" top="0.75" bottom="0.75" header="0.3" footer="0.3"/>
  <pageSetup paperSize="9" scale="38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Pict="0" r:id="rId5">
            <anchor moveWithCells="1">
              <from>
                <xdr:col>1</xdr:col>
                <xdr:colOff>0</xdr:colOff>
                <xdr:row>95</xdr:row>
                <xdr:rowOff>9525</xdr:rowOff>
              </from>
              <to>
                <xdr:col>2</xdr:col>
                <xdr:colOff>9525</xdr:colOff>
                <xdr:row>96</xdr:row>
                <xdr:rowOff>371475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Pict="0" r:id="rId5">
            <anchor moveWithCells="1">
              <from>
                <xdr:col>1</xdr:col>
                <xdr:colOff>0</xdr:colOff>
                <xdr:row>125</xdr:row>
                <xdr:rowOff>9525</xdr:rowOff>
              </from>
              <to>
                <xdr:col>2</xdr:col>
                <xdr:colOff>9525</xdr:colOff>
                <xdr:row>126</xdr:row>
                <xdr:rowOff>0</xdr:rowOff>
              </to>
            </anchor>
          </objectPr>
        </oleObject>
      </mc:Choice>
      <mc:Fallback>
        <oleObject progId="Paint.Picture" shapeId="1026" r:id="rId6"/>
      </mc:Fallback>
    </mc:AlternateContent>
    <mc:AlternateContent xmlns:mc="http://schemas.openxmlformats.org/markup-compatibility/2006">
      <mc:Choice Requires="x14">
        <oleObject progId="Paint.Picture" shapeId="1027" r:id="rId7">
          <objectPr defaultSize="0" autoPict="0" r:id="rId5">
            <anchor moveWithCells="1">
              <from>
                <xdr:col>1</xdr:col>
                <xdr:colOff>0</xdr:colOff>
                <xdr:row>116</xdr:row>
                <xdr:rowOff>9525</xdr:rowOff>
              </from>
              <to>
                <xdr:col>2</xdr:col>
                <xdr:colOff>9525</xdr:colOff>
                <xdr:row>117</xdr:row>
                <xdr:rowOff>28575</xdr:rowOff>
              </to>
            </anchor>
          </objectPr>
        </oleObject>
      </mc:Choice>
      <mc:Fallback>
        <oleObject progId="Paint.Picture" shapeId="1027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210"/>
  <sheetViews>
    <sheetView topLeftCell="A4" workbookViewId="0">
      <selection activeCell="T11" sqref="T11"/>
    </sheetView>
  </sheetViews>
  <sheetFormatPr defaultRowHeight="15"/>
  <sheetData>
    <row r="4" spans="1:17" ht="18.75">
      <c r="A4" s="66"/>
      <c r="B4" s="75"/>
      <c r="C4" s="75"/>
      <c r="D4" s="67"/>
      <c r="E4" s="75"/>
      <c r="F4" s="75"/>
      <c r="G4" s="75"/>
      <c r="H4" s="75"/>
      <c r="I4" s="75"/>
      <c r="J4" s="75"/>
      <c r="K4" s="439"/>
      <c r="L4" s="437"/>
      <c r="M4" s="774" t="s">
        <v>144</v>
      </c>
      <c r="N4" s="774"/>
      <c r="O4" s="774"/>
      <c r="P4" s="774"/>
      <c r="Q4" s="75"/>
    </row>
    <row r="5" spans="1:17" ht="18.75">
      <c r="A5" s="66"/>
      <c r="B5" s="75"/>
      <c r="C5" s="75"/>
      <c r="D5" s="67"/>
      <c r="E5" s="75"/>
      <c r="F5" s="75"/>
      <c r="G5" s="75"/>
      <c r="H5" s="75"/>
      <c r="I5" s="75"/>
      <c r="J5" s="75"/>
      <c r="K5" s="437"/>
      <c r="L5" s="438"/>
      <c r="M5" s="775" t="s">
        <v>147</v>
      </c>
      <c r="N5" s="775"/>
      <c r="O5" s="775"/>
      <c r="P5" s="775"/>
      <c r="Q5" s="75"/>
    </row>
    <row r="6" spans="1:17" ht="18.75">
      <c r="A6" s="66"/>
      <c r="B6" s="75"/>
      <c r="C6" s="75"/>
      <c r="D6" s="67"/>
      <c r="E6" s="75"/>
      <c r="F6" s="75"/>
      <c r="G6" s="75"/>
      <c r="H6" s="75"/>
      <c r="I6" s="75"/>
      <c r="J6" s="75"/>
      <c r="K6" s="438"/>
      <c r="L6" s="438"/>
      <c r="M6" s="775" t="s">
        <v>146</v>
      </c>
      <c r="N6" s="775"/>
      <c r="O6" s="775"/>
      <c r="P6" s="775"/>
      <c r="Q6" s="75"/>
    </row>
    <row r="7" spans="1:17" ht="18.75">
      <c r="A7" s="66"/>
      <c r="B7" s="75"/>
      <c r="C7" s="75"/>
      <c r="D7" s="67"/>
      <c r="E7" s="75"/>
      <c r="F7" s="75"/>
      <c r="G7" s="75"/>
      <c r="H7" s="75"/>
      <c r="I7" s="75"/>
      <c r="J7" s="75"/>
      <c r="K7" s="438"/>
      <c r="L7" s="438"/>
      <c r="M7" s="775" t="s">
        <v>145</v>
      </c>
      <c r="N7" s="775"/>
      <c r="O7" s="775"/>
      <c r="P7" s="775"/>
      <c r="Q7" s="75"/>
    </row>
    <row r="8" spans="1:17" ht="18.75">
      <c r="A8" s="746"/>
      <c r="B8" s="746"/>
      <c r="C8" s="746"/>
      <c r="D8" s="746"/>
      <c r="E8" s="746"/>
      <c r="F8" s="746"/>
      <c r="G8" s="746"/>
      <c r="H8" s="746"/>
      <c r="I8" s="746"/>
      <c r="J8" s="746"/>
      <c r="K8" s="438"/>
      <c r="L8" s="438"/>
      <c r="M8" s="438"/>
      <c r="N8" s="438"/>
      <c r="O8" s="75"/>
      <c r="P8" s="75"/>
      <c r="Q8" s="75"/>
    </row>
    <row r="9" spans="1:17" ht="16.5" thickBot="1">
      <c r="A9" s="732" t="s">
        <v>130</v>
      </c>
      <c r="B9" s="732"/>
      <c r="C9" s="732"/>
      <c r="D9" s="732"/>
      <c r="E9" s="732"/>
      <c r="F9" s="732"/>
      <c r="G9" s="732"/>
      <c r="H9" s="732"/>
      <c r="I9" s="732"/>
      <c r="J9" s="732"/>
      <c r="K9" s="732"/>
      <c r="L9" s="732"/>
      <c r="M9" s="732"/>
      <c r="N9" s="732"/>
      <c r="O9" s="75"/>
      <c r="P9" s="75"/>
      <c r="Q9" s="75"/>
    </row>
    <row r="10" spans="1:17" ht="123" thickBot="1">
      <c r="A10" s="76" t="s">
        <v>0</v>
      </c>
      <c r="B10" s="639" t="s">
        <v>5</v>
      </c>
      <c r="C10" s="640"/>
      <c r="D10" s="641"/>
      <c r="E10" s="77" t="s">
        <v>7</v>
      </c>
      <c r="F10" s="77" t="s">
        <v>16</v>
      </c>
      <c r="G10" s="77" t="s">
        <v>32</v>
      </c>
      <c r="H10" s="78" t="s">
        <v>8</v>
      </c>
      <c r="I10" s="77" t="s">
        <v>25</v>
      </c>
      <c r="J10" s="79" t="s">
        <v>33</v>
      </c>
      <c r="K10" s="77" t="s">
        <v>56</v>
      </c>
      <c r="L10" s="78" t="s">
        <v>82</v>
      </c>
      <c r="M10" s="77" t="s">
        <v>53</v>
      </c>
      <c r="N10" s="80" t="s">
        <v>54</v>
      </c>
      <c r="O10" s="75">
        <v>1.05</v>
      </c>
      <c r="P10" s="77" t="s">
        <v>119</v>
      </c>
      <c r="Q10" s="77" t="s">
        <v>120</v>
      </c>
    </row>
    <row r="11" spans="1:17" ht="16.5" thickBot="1">
      <c r="A11" s="630" t="s">
        <v>139</v>
      </c>
      <c r="B11" s="631"/>
      <c r="C11" s="631"/>
      <c r="D11" s="631"/>
      <c r="E11" s="631"/>
      <c r="F11" s="631"/>
      <c r="G11" s="631"/>
      <c r="H11" s="631"/>
      <c r="I11" s="631"/>
      <c r="J11" s="631"/>
      <c r="K11" s="631"/>
      <c r="L11" s="631"/>
      <c r="M11" s="631"/>
      <c r="N11" s="632"/>
      <c r="O11" s="135"/>
      <c r="P11" s="136">
        <v>0</v>
      </c>
      <c r="Q11" s="55"/>
    </row>
    <row r="12" spans="1:17" ht="15.75" thickBot="1">
      <c r="A12" s="607" t="s">
        <v>3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9"/>
      <c r="O12" s="7"/>
      <c r="P12" s="7"/>
      <c r="Q12" s="8"/>
    </row>
    <row r="13" spans="1:17" ht="75.75" thickBot="1">
      <c r="A13" s="150">
        <v>1</v>
      </c>
      <c r="B13" s="400"/>
      <c r="C13" s="82" t="s">
        <v>83</v>
      </c>
      <c r="D13" s="83" t="s">
        <v>78</v>
      </c>
      <c r="E13" s="84" t="s">
        <v>11</v>
      </c>
      <c r="F13" s="322">
        <v>70</v>
      </c>
      <c r="G13" s="130">
        <v>9.42</v>
      </c>
      <c r="H13" s="111">
        <v>1499</v>
      </c>
      <c r="I13" s="192">
        <v>13</v>
      </c>
      <c r="J13" s="85">
        <f>M13*1.3</f>
        <v>1605.5</v>
      </c>
      <c r="K13" s="86">
        <f>J13*0.95</f>
        <v>1525.2249999999999</v>
      </c>
      <c r="L13" s="74">
        <f>M13*1.05</f>
        <v>1296.75</v>
      </c>
      <c r="M13" s="86">
        <f>ROUND(1176*1.05,0)</f>
        <v>1235</v>
      </c>
      <c r="N13" s="87">
        <f>ROUND(M13/1.2,2)</f>
        <v>1029.17</v>
      </c>
      <c r="O13" s="135"/>
      <c r="P13" s="136">
        <v>873.73</v>
      </c>
      <c r="Q13" s="230">
        <v>1001</v>
      </c>
    </row>
    <row r="14" spans="1:17" ht="15.75" thickBot="1">
      <c r="A14" s="767" t="s">
        <v>23</v>
      </c>
      <c r="B14" s="715"/>
      <c r="C14" s="715"/>
      <c r="D14" s="715"/>
      <c r="E14" s="715"/>
      <c r="F14" s="715"/>
      <c r="G14" s="715"/>
      <c r="H14" s="715"/>
      <c r="I14" s="715"/>
      <c r="J14" s="715"/>
      <c r="K14" s="715"/>
      <c r="L14" s="715"/>
      <c r="M14" s="715"/>
      <c r="N14" s="733"/>
      <c r="O14" s="135"/>
      <c r="P14" s="136">
        <v>0</v>
      </c>
      <c r="Q14" s="75"/>
    </row>
    <row r="15" spans="1:17" ht="19.5" thickBot="1">
      <c r="A15" s="653">
        <v>2</v>
      </c>
      <c r="B15" s="398"/>
      <c r="C15" s="338" t="s">
        <v>6</v>
      </c>
      <c r="D15" s="101" t="s">
        <v>78</v>
      </c>
      <c r="E15" s="772" t="s">
        <v>24</v>
      </c>
      <c r="F15" s="320">
        <v>60</v>
      </c>
      <c r="G15" s="256">
        <v>13.39</v>
      </c>
      <c r="H15" s="237">
        <v>1734</v>
      </c>
      <c r="I15" s="113">
        <v>11</v>
      </c>
      <c r="J15" s="172">
        <f>M15*1.1</f>
        <v>985.60000000000014</v>
      </c>
      <c r="K15" s="173">
        <f>J15*0.97</f>
        <v>956.03200000000015</v>
      </c>
      <c r="L15" s="174">
        <f>M15*1.03</f>
        <v>922.88</v>
      </c>
      <c r="M15" s="173">
        <f>ROUND(853*1.05,0)</f>
        <v>896</v>
      </c>
      <c r="N15" s="175">
        <f>ROUND(M15/1.2,2)</f>
        <v>746.67</v>
      </c>
      <c r="O15" s="135"/>
      <c r="P15" s="136">
        <v>591.53</v>
      </c>
      <c r="Q15" s="12">
        <v>665</v>
      </c>
    </row>
    <row r="16" spans="1:17" ht="45.75" thickBot="1">
      <c r="A16" s="656"/>
      <c r="B16" s="399"/>
      <c r="C16" s="340" t="s">
        <v>85</v>
      </c>
      <c r="D16" s="106" t="s">
        <v>78</v>
      </c>
      <c r="E16" s="773"/>
      <c r="F16" s="321">
        <v>60</v>
      </c>
      <c r="G16" s="257">
        <v>13.39</v>
      </c>
      <c r="H16" s="239">
        <v>1734</v>
      </c>
      <c r="I16" s="149">
        <v>11</v>
      </c>
      <c r="J16" s="178">
        <f>M16*1.3</f>
        <v>1439.1000000000001</v>
      </c>
      <c r="K16" s="4">
        <f>J16*0.95</f>
        <v>1367.145</v>
      </c>
      <c r="L16" s="179">
        <f>M16*1.05</f>
        <v>1162.3500000000001</v>
      </c>
      <c r="M16" s="4">
        <f>ROUND(1054*1.05,0)</f>
        <v>1107</v>
      </c>
      <c r="N16" s="180">
        <f>ROUND(M16/1.2,2)</f>
        <v>922.5</v>
      </c>
      <c r="O16" s="135"/>
      <c r="P16" s="136">
        <v>782.2</v>
      </c>
      <c r="Q16" s="12">
        <v>896</v>
      </c>
    </row>
    <row r="17" spans="1:17" ht="15.75" thickBot="1">
      <c r="A17" s="607" t="s">
        <v>80</v>
      </c>
      <c r="B17" s="608"/>
      <c r="C17" s="608"/>
      <c r="D17" s="608"/>
      <c r="E17" s="608"/>
      <c r="F17" s="608"/>
      <c r="G17" s="608"/>
      <c r="H17" s="608"/>
      <c r="I17" s="608"/>
      <c r="J17" s="608"/>
      <c r="K17" s="608"/>
      <c r="L17" s="608"/>
      <c r="M17" s="608"/>
      <c r="N17" s="609"/>
      <c r="O17" s="135"/>
      <c r="P17" s="136">
        <v>0</v>
      </c>
      <c r="Q17" s="75"/>
    </row>
    <row r="18" spans="1:17" ht="19.5" thickBot="1">
      <c r="A18" s="636">
        <v>3</v>
      </c>
      <c r="B18" s="391"/>
      <c r="C18" s="208" t="s">
        <v>6</v>
      </c>
      <c r="D18" s="196" t="s">
        <v>78</v>
      </c>
      <c r="E18" s="776" t="s">
        <v>65</v>
      </c>
      <c r="F18" s="610">
        <v>60</v>
      </c>
      <c r="G18" s="778">
        <v>13.44</v>
      </c>
      <c r="H18" s="780">
        <v>1880</v>
      </c>
      <c r="I18" s="782">
        <v>10</v>
      </c>
      <c r="J18" s="86">
        <f>M18*1.1</f>
        <v>751.30000000000007</v>
      </c>
      <c r="K18" s="86">
        <f>J18*0.97</f>
        <v>728.76100000000008</v>
      </c>
      <c r="L18" s="74">
        <f>M18*1.03</f>
        <v>703.49</v>
      </c>
      <c r="M18" s="86">
        <f>ROUND(650*1.05,0)</f>
        <v>683</v>
      </c>
      <c r="N18" s="87">
        <f>ROUND(M18/1.2,2)</f>
        <v>569.16999999999996</v>
      </c>
      <c r="O18" s="135"/>
      <c r="P18" s="136">
        <v>450.85</v>
      </c>
      <c r="Q18" s="227">
        <v>507</v>
      </c>
    </row>
    <row r="19" spans="1:17" ht="18.75">
      <c r="A19" s="637"/>
      <c r="B19" s="401"/>
      <c r="C19" s="269" t="s">
        <v>14</v>
      </c>
      <c r="D19" s="169" t="s">
        <v>78</v>
      </c>
      <c r="E19" s="777"/>
      <c r="F19" s="596"/>
      <c r="G19" s="779"/>
      <c r="H19" s="781"/>
      <c r="I19" s="783"/>
      <c r="J19" s="747">
        <f>ROUND(M19*1.15,0)</f>
        <v>909</v>
      </c>
      <c r="K19" s="747">
        <f>J19*0.95</f>
        <v>863.55</v>
      </c>
      <c r="L19" s="747">
        <f>M19*1.04</f>
        <v>821.6</v>
      </c>
      <c r="M19" s="784">
        <f>ROUND(752*1.05,0)</f>
        <v>790</v>
      </c>
      <c r="N19" s="787">
        <f>ROUND(M19/1.2,2)</f>
        <v>658.33</v>
      </c>
      <c r="O19" s="135"/>
      <c r="P19" s="758">
        <v>521.19000000000005</v>
      </c>
      <c r="Q19" s="747">
        <v>586</v>
      </c>
    </row>
    <row r="20" spans="1:17" ht="18.75">
      <c r="A20" s="637"/>
      <c r="B20" s="403"/>
      <c r="C20" s="267" t="s">
        <v>47</v>
      </c>
      <c r="D20" s="157" t="s">
        <v>78</v>
      </c>
      <c r="E20" s="777"/>
      <c r="F20" s="596"/>
      <c r="G20" s="779"/>
      <c r="H20" s="781"/>
      <c r="I20" s="783"/>
      <c r="J20" s="748"/>
      <c r="K20" s="748"/>
      <c r="L20" s="748"/>
      <c r="M20" s="785"/>
      <c r="N20" s="788"/>
      <c r="O20" s="135"/>
      <c r="P20" s="758"/>
      <c r="Q20" s="748"/>
    </row>
    <row r="21" spans="1:17" ht="18.75">
      <c r="A21" s="637"/>
      <c r="B21" s="392"/>
      <c r="C21" s="267" t="s">
        <v>44</v>
      </c>
      <c r="D21" s="157" t="s">
        <v>78</v>
      </c>
      <c r="E21" s="777"/>
      <c r="F21" s="596"/>
      <c r="G21" s="779"/>
      <c r="H21" s="781"/>
      <c r="I21" s="783"/>
      <c r="J21" s="748"/>
      <c r="K21" s="748"/>
      <c r="L21" s="748"/>
      <c r="M21" s="785"/>
      <c r="N21" s="788"/>
      <c r="O21" s="135"/>
      <c r="P21" s="758"/>
      <c r="Q21" s="748"/>
    </row>
    <row r="22" spans="1:17" ht="18.75">
      <c r="A22" s="637"/>
      <c r="B22" s="394"/>
      <c r="C22" s="267" t="s">
        <v>49</v>
      </c>
      <c r="D22" s="157" t="s">
        <v>78</v>
      </c>
      <c r="E22" s="777"/>
      <c r="F22" s="596"/>
      <c r="G22" s="779"/>
      <c r="H22" s="781"/>
      <c r="I22" s="783"/>
      <c r="J22" s="748"/>
      <c r="K22" s="748"/>
      <c r="L22" s="748"/>
      <c r="M22" s="785"/>
      <c r="N22" s="788"/>
      <c r="O22" s="135"/>
      <c r="P22" s="758"/>
      <c r="Q22" s="748"/>
    </row>
    <row r="23" spans="1:17" ht="18.75">
      <c r="A23" s="637"/>
      <c r="B23" s="395"/>
      <c r="C23" s="267" t="s">
        <v>50</v>
      </c>
      <c r="D23" s="157" t="s">
        <v>78</v>
      </c>
      <c r="E23" s="777"/>
      <c r="F23" s="596"/>
      <c r="G23" s="779"/>
      <c r="H23" s="781"/>
      <c r="I23" s="783"/>
      <c r="J23" s="748"/>
      <c r="K23" s="748"/>
      <c r="L23" s="748"/>
      <c r="M23" s="785"/>
      <c r="N23" s="788"/>
      <c r="O23" s="135"/>
      <c r="P23" s="758"/>
      <c r="Q23" s="748"/>
    </row>
    <row r="24" spans="1:17" ht="18.75">
      <c r="A24" s="637"/>
      <c r="B24" s="396"/>
      <c r="C24" s="267" t="s">
        <v>51</v>
      </c>
      <c r="D24" s="157" t="s">
        <v>78</v>
      </c>
      <c r="E24" s="777" t="s">
        <v>66</v>
      </c>
      <c r="F24" s="596"/>
      <c r="G24" s="779">
        <v>11.4</v>
      </c>
      <c r="H24" s="781">
        <v>1606</v>
      </c>
      <c r="I24" s="783">
        <v>12</v>
      </c>
      <c r="J24" s="748"/>
      <c r="K24" s="748"/>
      <c r="L24" s="748"/>
      <c r="M24" s="785"/>
      <c r="N24" s="788"/>
      <c r="O24" s="135"/>
      <c r="P24" s="758"/>
      <c r="Q24" s="748"/>
    </row>
    <row r="25" spans="1:17" ht="18.75">
      <c r="A25" s="637"/>
      <c r="B25" s="393"/>
      <c r="C25" s="267" t="s">
        <v>52</v>
      </c>
      <c r="D25" s="157" t="s">
        <v>78</v>
      </c>
      <c r="E25" s="777"/>
      <c r="F25" s="596"/>
      <c r="G25" s="779"/>
      <c r="H25" s="781"/>
      <c r="I25" s="783"/>
      <c r="J25" s="748"/>
      <c r="K25" s="748"/>
      <c r="L25" s="748"/>
      <c r="M25" s="785"/>
      <c r="N25" s="788"/>
      <c r="O25" s="135"/>
      <c r="P25" s="758"/>
      <c r="Q25" s="748"/>
    </row>
    <row r="26" spans="1:17" ht="19.5" thickBot="1">
      <c r="A26" s="637"/>
      <c r="B26" s="397"/>
      <c r="C26" s="267" t="s">
        <v>38</v>
      </c>
      <c r="D26" s="157" t="s">
        <v>78</v>
      </c>
      <c r="E26" s="777"/>
      <c r="F26" s="596"/>
      <c r="G26" s="779"/>
      <c r="H26" s="781"/>
      <c r="I26" s="783"/>
      <c r="J26" s="748"/>
      <c r="K26" s="748"/>
      <c r="L26" s="748"/>
      <c r="M26" s="785"/>
      <c r="N26" s="788"/>
      <c r="O26" s="135"/>
      <c r="P26" s="758"/>
      <c r="Q26" s="749"/>
    </row>
    <row r="27" spans="1:17" ht="19.5" thickBot="1">
      <c r="A27" s="637"/>
      <c r="B27" s="405"/>
      <c r="C27" s="260" t="s">
        <v>48</v>
      </c>
      <c r="D27" s="168" t="s">
        <v>78</v>
      </c>
      <c r="E27" s="777"/>
      <c r="F27" s="596"/>
      <c r="G27" s="779"/>
      <c r="H27" s="781"/>
      <c r="I27" s="783"/>
      <c r="J27" s="749"/>
      <c r="K27" s="749"/>
      <c r="L27" s="749"/>
      <c r="M27" s="786"/>
      <c r="N27" s="789"/>
      <c r="O27" s="135"/>
      <c r="P27" s="136">
        <v>726.27</v>
      </c>
      <c r="Q27" s="14">
        <v>816</v>
      </c>
    </row>
    <row r="28" spans="1:17" ht="60">
      <c r="A28" s="637"/>
      <c r="B28" s="404"/>
      <c r="C28" s="266" t="s">
        <v>86</v>
      </c>
      <c r="D28" s="197" t="s">
        <v>78</v>
      </c>
      <c r="E28" s="777"/>
      <c r="F28" s="596"/>
      <c r="G28" s="779"/>
      <c r="H28" s="781"/>
      <c r="I28" s="783"/>
      <c r="J28" s="747">
        <f>M28*1.3</f>
        <v>1480.7</v>
      </c>
      <c r="K28" s="748">
        <f>J28*0.95</f>
        <v>1406.665</v>
      </c>
      <c r="L28" s="748">
        <f>M28*1.05</f>
        <v>1195.95</v>
      </c>
      <c r="M28" s="785">
        <f>ROUND(1085*1.05,0)</f>
        <v>1139</v>
      </c>
      <c r="N28" s="788">
        <f>ROUND(M28/1.2,2)</f>
        <v>949.17</v>
      </c>
      <c r="O28" s="135"/>
      <c r="P28" s="758">
        <v>805.08</v>
      </c>
      <c r="Q28" s="747">
        <v>922</v>
      </c>
    </row>
    <row r="29" spans="1:17" ht="45">
      <c r="A29" s="637"/>
      <c r="B29" s="402"/>
      <c r="C29" s="191" t="s">
        <v>85</v>
      </c>
      <c r="D29" s="158" t="s">
        <v>78</v>
      </c>
      <c r="E29" s="777"/>
      <c r="F29" s="596"/>
      <c r="G29" s="779"/>
      <c r="H29" s="781"/>
      <c r="I29" s="783"/>
      <c r="J29" s="748"/>
      <c r="K29" s="748"/>
      <c r="L29" s="748"/>
      <c r="M29" s="785"/>
      <c r="N29" s="788"/>
      <c r="O29" s="135"/>
      <c r="P29" s="758"/>
      <c r="Q29" s="748"/>
    </row>
    <row r="30" spans="1:17" ht="60.75" thickBot="1">
      <c r="A30" s="638"/>
      <c r="B30" s="406"/>
      <c r="C30" s="263" t="s">
        <v>87</v>
      </c>
      <c r="D30" s="198" t="s">
        <v>78</v>
      </c>
      <c r="E30" s="790"/>
      <c r="F30" s="597"/>
      <c r="G30" s="791"/>
      <c r="H30" s="792"/>
      <c r="I30" s="793"/>
      <c r="J30" s="749"/>
      <c r="K30" s="749"/>
      <c r="L30" s="749"/>
      <c r="M30" s="786"/>
      <c r="N30" s="789"/>
      <c r="O30" s="135"/>
      <c r="P30" s="758"/>
      <c r="Q30" s="749"/>
    </row>
    <row r="31" spans="1:17" ht="15.75" thickBot="1">
      <c r="A31" s="607" t="s">
        <v>61</v>
      </c>
      <c r="B31" s="608"/>
      <c r="C31" s="608"/>
      <c r="D31" s="608"/>
      <c r="E31" s="608"/>
      <c r="F31" s="608"/>
      <c r="G31" s="608"/>
      <c r="H31" s="608"/>
      <c r="I31" s="608"/>
      <c r="J31" s="608"/>
      <c r="K31" s="608"/>
      <c r="L31" s="608"/>
      <c r="M31" s="608"/>
      <c r="N31" s="609"/>
      <c r="O31" s="135"/>
      <c r="P31" s="136">
        <v>0</v>
      </c>
      <c r="Q31" s="15"/>
    </row>
    <row r="32" spans="1:17" ht="19.5" thickBot="1">
      <c r="A32" s="636">
        <v>4</v>
      </c>
      <c r="B32" s="407"/>
      <c r="C32" s="311" t="s">
        <v>6</v>
      </c>
      <c r="D32" s="101"/>
      <c r="E32" s="794" t="s">
        <v>126</v>
      </c>
      <c r="F32" s="797">
        <v>60</v>
      </c>
      <c r="G32" s="318">
        <v>11.29</v>
      </c>
      <c r="H32" s="315">
        <v>1606</v>
      </c>
      <c r="I32" s="316">
        <v>12</v>
      </c>
      <c r="J32" s="85">
        <f>M32*1.15</f>
        <v>871.69999999999993</v>
      </c>
      <c r="K32" s="86">
        <f>J32*0.97</f>
        <v>845.54899999999986</v>
      </c>
      <c r="L32" s="74">
        <f>M32*1.03</f>
        <v>780.74</v>
      </c>
      <c r="M32" s="86">
        <f>ROUND(722*1.05,0)</f>
        <v>758</v>
      </c>
      <c r="N32" s="87">
        <f>ROUND(M32/1.2,2)</f>
        <v>631.66999999999996</v>
      </c>
      <c r="O32" s="135"/>
      <c r="P32" s="136"/>
      <c r="Q32" s="20"/>
    </row>
    <row r="33" spans="1:17" ht="60">
      <c r="A33" s="637"/>
      <c r="B33" s="409"/>
      <c r="C33" s="235" t="s">
        <v>68</v>
      </c>
      <c r="D33" s="101" t="s">
        <v>78</v>
      </c>
      <c r="E33" s="795"/>
      <c r="F33" s="798"/>
      <c r="G33" s="319">
        <v>11.29</v>
      </c>
      <c r="H33" s="199">
        <v>1606</v>
      </c>
      <c r="I33" s="200">
        <v>12</v>
      </c>
      <c r="J33" s="172">
        <f>M33*1.3</f>
        <v>1605.5</v>
      </c>
      <c r="K33" s="173">
        <f>J33*0.95</f>
        <v>1525.2249999999999</v>
      </c>
      <c r="L33" s="174">
        <f>M33*1.05</f>
        <v>1296.75</v>
      </c>
      <c r="M33" s="173">
        <f>ROUND(1176*1.05,0)</f>
        <v>1235</v>
      </c>
      <c r="N33" s="175">
        <f>ROUND(M33/1.2,2)</f>
        <v>1029.17</v>
      </c>
      <c r="O33" s="135"/>
      <c r="P33" s="136">
        <v>873.73</v>
      </c>
      <c r="Q33" s="16">
        <v>1001</v>
      </c>
    </row>
    <row r="34" spans="1:17" ht="75">
      <c r="A34" s="637"/>
      <c r="B34" s="267"/>
      <c r="C34" s="204" t="s">
        <v>83</v>
      </c>
      <c r="D34" s="99" t="s">
        <v>78</v>
      </c>
      <c r="E34" s="795"/>
      <c r="F34" s="798"/>
      <c r="G34" s="132">
        <v>11.29</v>
      </c>
      <c r="H34" s="104">
        <v>1606</v>
      </c>
      <c r="I34" s="105">
        <v>12</v>
      </c>
      <c r="J34" s="176">
        <f>M34*1.3</f>
        <v>1605.5</v>
      </c>
      <c r="K34" s="3">
        <f>J34*0.95</f>
        <v>1525.2249999999999</v>
      </c>
      <c r="L34" s="31">
        <f>M34*1.05</f>
        <v>1296.75</v>
      </c>
      <c r="M34" s="3">
        <f>ROUND(1176*1.05,0)</f>
        <v>1235</v>
      </c>
      <c r="N34" s="177">
        <f>ROUND(M34/1.2,2)</f>
        <v>1029.17</v>
      </c>
      <c r="O34" s="135"/>
      <c r="P34" s="136">
        <v>873.73</v>
      </c>
      <c r="Q34" s="16">
        <v>1001</v>
      </c>
    </row>
    <row r="35" spans="1:17" ht="45">
      <c r="A35" s="637"/>
      <c r="B35" s="296"/>
      <c r="C35" s="204" t="s">
        <v>84</v>
      </c>
      <c r="D35" s="17" t="s">
        <v>78</v>
      </c>
      <c r="E35" s="795"/>
      <c r="F35" s="798"/>
      <c r="G35" s="132">
        <v>11.29</v>
      </c>
      <c r="H35" s="104">
        <v>1606</v>
      </c>
      <c r="I35" s="105">
        <v>12</v>
      </c>
      <c r="J35" s="176">
        <f>M35*1.3</f>
        <v>1605.5</v>
      </c>
      <c r="K35" s="3">
        <f>J35*0.95</f>
        <v>1525.2249999999999</v>
      </c>
      <c r="L35" s="31">
        <f>M35*1.05</f>
        <v>1296.75</v>
      </c>
      <c r="M35" s="3">
        <f>ROUND(1176*1.05,0)</f>
        <v>1235</v>
      </c>
      <c r="N35" s="177">
        <f>ROUND(M35/1.2,2)</f>
        <v>1029.17</v>
      </c>
      <c r="O35" s="135"/>
      <c r="P35" s="136">
        <v>873.73</v>
      </c>
      <c r="Q35" s="16">
        <v>1001</v>
      </c>
    </row>
    <row r="36" spans="1:17" ht="45.75" thickBot="1">
      <c r="A36" s="638"/>
      <c r="B36" s="408"/>
      <c r="C36" s="334" t="s">
        <v>70</v>
      </c>
      <c r="D36" s="106" t="s">
        <v>78</v>
      </c>
      <c r="E36" s="796"/>
      <c r="F36" s="799"/>
      <c r="G36" s="133">
        <v>11.29</v>
      </c>
      <c r="H36" s="107">
        <v>1606</v>
      </c>
      <c r="I36" s="108">
        <v>12</v>
      </c>
      <c r="J36" s="178">
        <f>M36*1.3</f>
        <v>1605.5</v>
      </c>
      <c r="K36" s="4">
        <f>J36*0.95</f>
        <v>1525.2249999999999</v>
      </c>
      <c r="L36" s="179">
        <f>M36*1.05</f>
        <v>1296.75</v>
      </c>
      <c r="M36" s="4">
        <f>ROUND(1176*1.05,0)</f>
        <v>1235</v>
      </c>
      <c r="N36" s="180">
        <f>ROUND(M36/1.2,2)</f>
        <v>1029.17</v>
      </c>
      <c r="O36" s="135"/>
      <c r="P36" s="136">
        <v>873.73</v>
      </c>
      <c r="Q36" s="16">
        <v>1001</v>
      </c>
    </row>
    <row r="37" spans="1:17" ht="15.75" thickBot="1">
      <c r="A37" s="607" t="s">
        <v>62</v>
      </c>
      <c r="B37" s="608"/>
      <c r="C37" s="608"/>
      <c r="D37" s="608"/>
      <c r="E37" s="608"/>
      <c r="F37" s="608"/>
      <c r="G37" s="608"/>
      <c r="H37" s="608"/>
      <c r="I37" s="608"/>
      <c r="J37" s="608"/>
      <c r="K37" s="608"/>
      <c r="L37" s="608"/>
      <c r="M37" s="608"/>
      <c r="N37" s="609"/>
      <c r="O37" s="135"/>
      <c r="P37" s="136">
        <v>0</v>
      </c>
      <c r="Q37" s="18"/>
    </row>
    <row r="38" spans="1:17" ht="19.5" thickBot="1">
      <c r="A38" s="653">
        <v>5</v>
      </c>
      <c r="B38" s="412"/>
      <c r="C38" s="312" t="s">
        <v>6</v>
      </c>
      <c r="D38" s="83"/>
      <c r="E38" s="794" t="s">
        <v>67</v>
      </c>
      <c r="F38" s="610">
        <v>60</v>
      </c>
      <c r="G38" s="332">
        <v>11.52</v>
      </c>
      <c r="H38" s="315">
        <v>1635</v>
      </c>
      <c r="I38" s="316">
        <v>12</v>
      </c>
      <c r="J38" s="85">
        <f>M38*1.15</f>
        <v>871.69999999999993</v>
      </c>
      <c r="K38" s="86">
        <f>J38*0.97</f>
        <v>845.54899999999986</v>
      </c>
      <c r="L38" s="74">
        <f>M38*1.03</f>
        <v>780.74</v>
      </c>
      <c r="M38" s="86">
        <f>ROUND(722*1.05,0)</f>
        <v>758</v>
      </c>
      <c r="N38" s="87">
        <f>ROUND(M38/1.2,2)</f>
        <v>631.66999999999996</v>
      </c>
      <c r="O38" s="135"/>
      <c r="P38" s="136">
        <v>501.69</v>
      </c>
      <c r="Q38" s="19">
        <v>564</v>
      </c>
    </row>
    <row r="39" spans="1:17" ht="75">
      <c r="A39" s="655"/>
      <c r="B39" s="410"/>
      <c r="C39" s="206" t="s">
        <v>69</v>
      </c>
      <c r="D39" s="193" t="s">
        <v>78</v>
      </c>
      <c r="E39" s="795"/>
      <c r="F39" s="596"/>
      <c r="G39" s="319">
        <v>11.52</v>
      </c>
      <c r="H39" s="199">
        <v>1635</v>
      </c>
      <c r="I39" s="200">
        <v>12</v>
      </c>
      <c r="J39" s="172">
        <f>M39*1.3</f>
        <v>1605.5</v>
      </c>
      <c r="K39" s="173">
        <f>J39*0.95</f>
        <v>1525.2249999999999</v>
      </c>
      <c r="L39" s="174">
        <f>M39*1.05</f>
        <v>1296.75</v>
      </c>
      <c r="M39" s="173">
        <f>ROUND(1176*1.05,0)</f>
        <v>1235</v>
      </c>
      <c r="N39" s="175">
        <f t="shared" ref="N39:N110" si="0">ROUND(M39/1.2,2)</f>
        <v>1029.17</v>
      </c>
      <c r="O39" s="135"/>
      <c r="P39" s="136">
        <v>873.73</v>
      </c>
      <c r="Q39" s="16">
        <v>1001</v>
      </c>
    </row>
    <row r="40" spans="1:17" ht="75.75" thickBot="1">
      <c r="A40" s="656"/>
      <c r="B40" s="411"/>
      <c r="C40" s="334" t="s">
        <v>88</v>
      </c>
      <c r="D40" s="106" t="s">
        <v>78</v>
      </c>
      <c r="E40" s="796"/>
      <c r="F40" s="597"/>
      <c r="G40" s="133">
        <v>11.52</v>
      </c>
      <c r="H40" s="107">
        <v>1635</v>
      </c>
      <c r="I40" s="108">
        <v>12</v>
      </c>
      <c r="J40" s="178">
        <f>M40*1.3</f>
        <v>1605.5</v>
      </c>
      <c r="K40" s="4">
        <f>J40*0.95</f>
        <v>1525.2249999999999</v>
      </c>
      <c r="L40" s="179">
        <f>M40*1.05</f>
        <v>1296.75</v>
      </c>
      <c r="M40" s="4">
        <f>ROUND(1176*1.05,0)</f>
        <v>1235</v>
      </c>
      <c r="N40" s="180">
        <f t="shared" si="0"/>
        <v>1029.17</v>
      </c>
      <c r="O40" s="135"/>
      <c r="P40" s="136">
        <v>873.73</v>
      </c>
      <c r="Q40" s="16">
        <v>1001</v>
      </c>
    </row>
    <row r="41" spans="1:17" ht="15.75" thickBot="1">
      <c r="A41" s="607" t="s">
        <v>63</v>
      </c>
      <c r="B41" s="608"/>
      <c r="C41" s="608"/>
      <c r="D41" s="608"/>
      <c r="E41" s="608"/>
      <c r="F41" s="608"/>
      <c r="G41" s="608"/>
      <c r="H41" s="608"/>
      <c r="I41" s="608"/>
      <c r="J41" s="608"/>
      <c r="K41" s="608"/>
      <c r="L41" s="608"/>
      <c r="M41" s="608"/>
      <c r="N41" s="609"/>
      <c r="O41" s="135"/>
      <c r="P41" s="136">
        <v>0</v>
      </c>
      <c r="Q41" s="20"/>
    </row>
    <row r="42" spans="1:17" ht="19.5" thickBot="1">
      <c r="A42" s="636">
        <v>6</v>
      </c>
      <c r="B42" s="413"/>
      <c r="C42" s="195" t="s">
        <v>6</v>
      </c>
      <c r="D42" s="357" t="s">
        <v>78</v>
      </c>
      <c r="E42" s="806" t="s">
        <v>60</v>
      </c>
      <c r="F42" s="809">
        <v>60</v>
      </c>
      <c r="G42" s="317">
        <v>12.96</v>
      </c>
      <c r="H42" s="313">
        <v>1850</v>
      </c>
      <c r="I42" s="314">
        <v>11</v>
      </c>
      <c r="J42" s="155">
        <f>M42*1.15</f>
        <v>871.69999999999993</v>
      </c>
      <c r="K42" s="228">
        <f>J42*0.97</f>
        <v>845.54899999999986</v>
      </c>
      <c r="L42" s="147">
        <f>M42*1.03</f>
        <v>780.74</v>
      </c>
      <c r="M42" s="228">
        <f>ROUND(722*1.05,0)</f>
        <v>758</v>
      </c>
      <c r="N42" s="182">
        <f t="shared" si="0"/>
        <v>631.66999999999996</v>
      </c>
      <c r="O42" s="135"/>
      <c r="P42" s="136">
        <v>501.69</v>
      </c>
      <c r="Q42" s="1">
        <v>564</v>
      </c>
    </row>
    <row r="43" spans="1:17" ht="19.5" thickBot="1">
      <c r="A43" s="637"/>
      <c r="B43" s="207"/>
      <c r="C43" s="195" t="s">
        <v>14</v>
      </c>
      <c r="D43" s="358" t="s">
        <v>78</v>
      </c>
      <c r="E43" s="807"/>
      <c r="F43" s="810"/>
      <c r="G43" s="317">
        <v>12.96</v>
      </c>
      <c r="H43" s="313">
        <v>1850</v>
      </c>
      <c r="I43" s="314">
        <v>11</v>
      </c>
      <c r="J43" s="155">
        <f>M43*1.15</f>
        <v>961.4</v>
      </c>
      <c r="K43" s="228">
        <f>J43*0.95</f>
        <v>913.32999999999993</v>
      </c>
      <c r="L43" s="147">
        <f>M43*1.04</f>
        <v>869.44</v>
      </c>
      <c r="M43" s="228">
        <f>ROUND(796*1.05,0)</f>
        <v>836</v>
      </c>
      <c r="N43" s="182">
        <f t="shared" si="0"/>
        <v>696.67</v>
      </c>
      <c r="O43" s="135"/>
      <c r="P43" s="136"/>
      <c r="Q43" s="71"/>
    </row>
    <row r="44" spans="1:17" ht="45">
      <c r="A44" s="637"/>
      <c r="B44" s="295"/>
      <c r="C44" s="171" t="s">
        <v>89</v>
      </c>
      <c r="D44" s="194" t="s">
        <v>78</v>
      </c>
      <c r="E44" s="807"/>
      <c r="F44" s="810"/>
      <c r="G44" s="201">
        <v>12.96</v>
      </c>
      <c r="H44" s="110">
        <v>1850</v>
      </c>
      <c r="I44" s="21">
        <v>11</v>
      </c>
      <c r="J44" s="172">
        <f>M44*1.3</f>
        <v>1605.5</v>
      </c>
      <c r="K44" s="173">
        <f>J44*0.95</f>
        <v>1525.2249999999999</v>
      </c>
      <c r="L44" s="174">
        <f>M44*1.05</f>
        <v>1296.75</v>
      </c>
      <c r="M44" s="173">
        <f>ROUND(1176*1.05,0)</f>
        <v>1235</v>
      </c>
      <c r="N44" s="175">
        <f t="shared" si="0"/>
        <v>1029.17</v>
      </c>
      <c r="O44" s="135"/>
      <c r="P44" s="136">
        <v>873.73</v>
      </c>
      <c r="Q44" s="3">
        <v>1001</v>
      </c>
    </row>
    <row r="45" spans="1:17" ht="45">
      <c r="A45" s="637"/>
      <c r="B45" s="226"/>
      <c r="C45" s="72" t="s">
        <v>90</v>
      </c>
      <c r="D45" s="22" t="s">
        <v>78</v>
      </c>
      <c r="E45" s="807"/>
      <c r="F45" s="810"/>
      <c r="G45" s="203">
        <v>12.96</v>
      </c>
      <c r="H45" s="23">
        <v>1850</v>
      </c>
      <c r="I45" s="24">
        <v>11</v>
      </c>
      <c r="J45" s="176">
        <f>M45*1.3</f>
        <v>1605.5</v>
      </c>
      <c r="K45" s="3">
        <f>J45*0.95</f>
        <v>1525.2249999999999</v>
      </c>
      <c r="L45" s="31">
        <f>M45*1.05</f>
        <v>1296.75</v>
      </c>
      <c r="M45" s="3">
        <f>ROUND(1176*1.05,0)</f>
        <v>1235</v>
      </c>
      <c r="N45" s="177">
        <f>ROUND(M45/1.2,2)</f>
        <v>1029.17</v>
      </c>
      <c r="O45" s="135"/>
      <c r="P45" s="136">
        <v>873.73</v>
      </c>
      <c r="Q45" s="3">
        <v>1001</v>
      </c>
    </row>
    <row r="46" spans="1:17" ht="45">
      <c r="A46" s="637"/>
      <c r="B46" s="415"/>
      <c r="C46" s="72" t="s">
        <v>131</v>
      </c>
      <c r="D46" s="194"/>
      <c r="E46" s="807"/>
      <c r="F46" s="810"/>
      <c r="G46" s="203">
        <v>12.96</v>
      </c>
      <c r="H46" s="23">
        <v>1850</v>
      </c>
      <c r="I46" s="24">
        <v>11</v>
      </c>
      <c r="J46" s="176">
        <f>M46*1.3</f>
        <v>1605.5</v>
      </c>
      <c r="K46" s="3">
        <f>J46*0.95</f>
        <v>1525.2249999999999</v>
      </c>
      <c r="L46" s="31">
        <f>M46*1.05</f>
        <v>1296.75</v>
      </c>
      <c r="M46" s="3">
        <f>ROUND(1176*1.05,0)</f>
        <v>1235</v>
      </c>
      <c r="N46" s="177">
        <f>ROUND(M46/1.2,2)</f>
        <v>1029.17</v>
      </c>
      <c r="O46" s="135"/>
      <c r="P46" s="136">
        <v>873.73</v>
      </c>
      <c r="Q46" s="3">
        <v>1001</v>
      </c>
    </row>
    <row r="47" spans="1:17" ht="45.75" thickBot="1">
      <c r="A47" s="638"/>
      <c r="B47" s="414"/>
      <c r="C47" s="73" t="s">
        <v>85</v>
      </c>
      <c r="D47" s="194" t="s">
        <v>78</v>
      </c>
      <c r="E47" s="808"/>
      <c r="F47" s="811"/>
      <c r="G47" s="202">
        <v>12.96</v>
      </c>
      <c r="H47" s="26">
        <v>1850</v>
      </c>
      <c r="I47" s="27">
        <v>11</v>
      </c>
      <c r="J47" s="178">
        <f>M47*1.3</f>
        <v>1605.5</v>
      </c>
      <c r="K47" s="4">
        <f>J47*0.95</f>
        <v>1525.2249999999999</v>
      </c>
      <c r="L47" s="179">
        <f>M47*1.05</f>
        <v>1296.75</v>
      </c>
      <c r="M47" s="4">
        <f>ROUND(1176*1.05,0)</f>
        <v>1235</v>
      </c>
      <c r="N47" s="180">
        <f>ROUND(M47/1.2,2)</f>
        <v>1029.17</v>
      </c>
      <c r="O47" s="135"/>
      <c r="P47" s="136">
        <v>873.73</v>
      </c>
      <c r="Q47" s="3">
        <v>1001</v>
      </c>
    </row>
    <row r="48" spans="1:17" ht="15.75" thickBot="1">
      <c r="A48" s="607" t="s">
        <v>71</v>
      </c>
      <c r="B48" s="608"/>
      <c r="C48" s="608"/>
      <c r="D48" s="608"/>
      <c r="E48" s="608"/>
      <c r="F48" s="608"/>
      <c r="G48" s="608"/>
      <c r="H48" s="608"/>
      <c r="I48" s="608"/>
      <c r="J48" s="608"/>
      <c r="K48" s="608"/>
      <c r="L48" s="608"/>
      <c r="M48" s="608"/>
      <c r="N48" s="609"/>
      <c r="O48" s="135"/>
      <c r="P48" s="136">
        <v>0</v>
      </c>
      <c r="Q48" s="18"/>
    </row>
    <row r="49" spans="1:17" ht="45">
      <c r="A49" s="636">
        <v>7</v>
      </c>
      <c r="B49" s="320"/>
      <c r="C49" s="28" t="s">
        <v>90</v>
      </c>
      <c r="D49" s="29"/>
      <c r="E49" s="812" t="s">
        <v>127</v>
      </c>
      <c r="F49" s="809">
        <v>60</v>
      </c>
      <c r="G49" s="201">
        <v>12.7</v>
      </c>
      <c r="H49" s="110">
        <v>1770</v>
      </c>
      <c r="I49" s="30">
        <v>11</v>
      </c>
      <c r="J49" s="172">
        <f>M49*1.3</f>
        <v>1605.5</v>
      </c>
      <c r="K49" s="173">
        <f>J49*0.95</f>
        <v>1525.2249999999999</v>
      </c>
      <c r="L49" s="174">
        <f>M49*1.05</f>
        <v>1296.75</v>
      </c>
      <c r="M49" s="173">
        <f>ROUND(1176*1.05,0)</f>
        <v>1235</v>
      </c>
      <c r="N49" s="175">
        <f t="shared" si="0"/>
        <v>1029.17</v>
      </c>
      <c r="O49" s="135"/>
      <c r="P49" s="136">
        <v>873.73</v>
      </c>
      <c r="Q49" s="31">
        <v>1001</v>
      </c>
    </row>
    <row r="50" spans="1:17" ht="60.75" thickBot="1">
      <c r="A50" s="638"/>
      <c r="B50" s="416"/>
      <c r="C50" s="25" t="s">
        <v>91</v>
      </c>
      <c r="D50" s="32"/>
      <c r="E50" s="813"/>
      <c r="F50" s="811"/>
      <c r="G50" s="202">
        <v>12.7</v>
      </c>
      <c r="H50" s="26">
        <v>1770</v>
      </c>
      <c r="I50" s="33">
        <v>11</v>
      </c>
      <c r="J50" s="178">
        <f>M50*1.3</f>
        <v>1605.5</v>
      </c>
      <c r="K50" s="4">
        <f>J50*0.95</f>
        <v>1525.2249999999999</v>
      </c>
      <c r="L50" s="179">
        <f>M50*1.05</f>
        <v>1296.75</v>
      </c>
      <c r="M50" s="4">
        <f>ROUND(1176*1.05,0)</f>
        <v>1235</v>
      </c>
      <c r="N50" s="180">
        <f t="shared" si="0"/>
        <v>1029.17</v>
      </c>
      <c r="O50" s="135"/>
      <c r="P50" s="136">
        <v>873.73</v>
      </c>
      <c r="Q50" s="34">
        <v>1001</v>
      </c>
    </row>
    <row r="51" spans="1:17" ht="15.75" thickBot="1">
      <c r="A51" s="607" t="s">
        <v>110</v>
      </c>
      <c r="B51" s="608"/>
      <c r="C51" s="608"/>
      <c r="D51" s="608"/>
      <c r="E51" s="608"/>
      <c r="F51" s="608"/>
      <c r="G51" s="608"/>
      <c r="H51" s="608"/>
      <c r="I51" s="608"/>
      <c r="J51" s="608"/>
      <c r="K51" s="608"/>
      <c r="L51" s="608"/>
      <c r="M51" s="608"/>
      <c r="N51" s="609"/>
      <c r="O51" s="135"/>
      <c r="P51" s="136">
        <v>0</v>
      </c>
      <c r="Q51" s="15"/>
    </row>
    <row r="52" spans="1:17" ht="19.5" thickBot="1">
      <c r="A52" s="636">
        <v>8</v>
      </c>
      <c r="B52" s="417"/>
      <c r="C52" s="274" t="s">
        <v>6</v>
      </c>
      <c r="D52" s="326"/>
      <c r="E52" s="800" t="s">
        <v>135</v>
      </c>
      <c r="F52" s="802">
        <v>80</v>
      </c>
      <c r="G52" s="317">
        <v>10.8</v>
      </c>
      <c r="H52" s="313">
        <v>2024</v>
      </c>
      <c r="I52" s="314">
        <v>10</v>
      </c>
      <c r="J52" s="85">
        <f>M52*1.15</f>
        <v>1285.6999999999998</v>
      </c>
      <c r="K52" s="86">
        <f>J52*0.97</f>
        <v>1247.1289999999997</v>
      </c>
      <c r="L52" s="74">
        <f>M52*1.03</f>
        <v>1151.54</v>
      </c>
      <c r="M52" s="86">
        <f>ROUND(1065*1.05,0)</f>
        <v>1118</v>
      </c>
      <c r="N52" s="87">
        <f t="shared" si="0"/>
        <v>931.67</v>
      </c>
      <c r="O52" s="135"/>
      <c r="P52" s="136">
        <v>738.98</v>
      </c>
      <c r="Q52" s="1">
        <v>830</v>
      </c>
    </row>
    <row r="53" spans="1:17" ht="19.5" thickBot="1">
      <c r="A53" s="637"/>
      <c r="B53" s="420"/>
      <c r="C53" s="274" t="s">
        <v>14</v>
      </c>
      <c r="D53" s="326"/>
      <c r="E53" s="801"/>
      <c r="F53" s="803"/>
      <c r="G53" s="317">
        <v>10.8</v>
      </c>
      <c r="H53" s="313">
        <v>2024</v>
      </c>
      <c r="I53" s="314">
        <v>10</v>
      </c>
      <c r="J53" s="93">
        <f>M53*1.15</f>
        <v>1424.85</v>
      </c>
      <c r="K53" s="230">
        <f>J53*0.95</f>
        <v>1353.6074999999998</v>
      </c>
      <c r="L53" s="94">
        <f>M53*1.04</f>
        <v>1288.56</v>
      </c>
      <c r="M53" s="230">
        <f>ROUND(1180*1.05,0)</f>
        <v>1239</v>
      </c>
      <c r="N53" s="95">
        <f t="shared" si="0"/>
        <v>1032.5</v>
      </c>
      <c r="O53" s="135"/>
      <c r="P53" s="136">
        <v>818.64</v>
      </c>
      <c r="Q53" s="2">
        <v>920</v>
      </c>
    </row>
    <row r="54" spans="1:17" ht="45">
      <c r="A54" s="637"/>
      <c r="B54" s="418"/>
      <c r="C54" s="170" t="s">
        <v>85</v>
      </c>
      <c r="D54" s="183"/>
      <c r="E54" s="801"/>
      <c r="F54" s="803"/>
      <c r="G54" s="323">
        <v>10.8</v>
      </c>
      <c r="H54" s="324">
        <v>2024</v>
      </c>
      <c r="I54" s="325">
        <v>10</v>
      </c>
      <c r="J54" s="172">
        <f>M54*1.3</f>
        <v>1765.4</v>
      </c>
      <c r="K54" s="173">
        <f>J54*0.95</f>
        <v>1677.13</v>
      </c>
      <c r="L54" s="174">
        <f>M54*1.05</f>
        <v>1425.9</v>
      </c>
      <c r="M54" s="173">
        <f>ROUND(1293*1.05,0)</f>
        <v>1358</v>
      </c>
      <c r="N54" s="175">
        <f t="shared" si="0"/>
        <v>1131.67</v>
      </c>
      <c r="O54" s="135"/>
      <c r="P54" s="136">
        <v>960.17</v>
      </c>
      <c r="Q54" s="3">
        <v>1100</v>
      </c>
    </row>
    <row r="55" spans="1:17" ht="60">
      <c r="A55" s="637"/>
      <c r="B55" s="188"/>
      <c r="C55" s="72" t="s">
        <v>111</v>
      </c>
      <c r="D55" s="184"/>
      <c r="E55" s="801"/>
      <c r="F55" s="803"/>
      <c r="G55" s="203">
        <v>10.8</v>
      </c>
      <c r="H55" s="23">
        <v>2024</v>
      </c>
      <c r="I55" s="35">
        <v>10</v>
      </c>
      <c r="J55" s="176">
        <f t="shared" ref="J55:J62" si="1">M55*1.3</f>
        <v>1765.4</v>
      </c>
      <c r="K55" s="3">
        <f t="shared" ref="K55:K62" si="2">J55*0.95</f>
        <v>1677.13</v>
      </c>
      <c r="L55" s="31">
        <f t="shared" ref="L55:L62" si="3">M55*1.05</f>
        <v>1425.9</v>
      </c>
      <c r="M55" s="3">
        <f t="shared" ref="M55:M60" si="4">ROUND(1293*1.05,0)</f>
        <v>1358</v>
      </c>
      <c r="N55" s="177">
        <f t="shared" si="0"/>
        <v>1131.67</v>
      </c>
      <c r="O55" s="135"/>
      <c r="P55" s="136">
        <v>960.17</v>
      </c>
      <c r="Q55" s="3">
        <v>1100</v>
      </c>
    </row>
    <row r="56" spans="1:17" ht="45">
      <c r="A56" s="637"/>
      <c r="B56" s="188"/>
      <c r="C56" s="72" t="s">
        <v>107</v>
      </c>
      <c r="D56" s="184"/>
      <c r="E56" s="801" t="s">
        <v>136</v>
      </c>
      <c r="F56" s="803"/>
      <c r="G56" s="203">
        <v>10.8</v>
      </c>
      <c r="H56" s="23">
        <v>2024</v>
      </c>
      <c r="I56" s="35">
        <v>10</v>
      </c>
      <c r="J56" s="176">
        <f t="shared" si="1"/>
        <v>1765.4</v>
      </c>
      <c r="K56" s="3">
        <f t="shared" si="2"/>
        <v>1677.13</v>
      </c>
      <c r="L56" s="31">
        <f t="shared" si="3"/>
        <v>1425.9</v>
      </c>
      <c r="M56" s="3">
        <f t="shared" si="4"/>
        <v>1358</v>
      </c>
      <c r="N56" s="177">
        <f t="shared" si="0"/>
        <v>1131.67</v>
      </c>
      <c r="O56" s="135"/>
      <c r="P56" s="136">
        <v>960.17</v>
      </c>
      <c r="Q56" s="3">
        <v>1100</v>
      </c>
    </row>
    <row r="57" spans="1:17" ht="45">
      <c r="A57" s="637"/>
      <c r="B57" s="188"/>
      <c r="C57" s="72" t="s">
        <v>96</v>
      </c>
      <c r="D57" s="184"/>
      <c r="E57" s="801"/>
      <c r="F57" s="803"/>
      <c r="G57" s="203">
        <v>10.8</v>
      </c>
      <c r="H57" s="23">
        <v>2024</v>
      </c>
      <c r="I57" s="35">
        <v>10</v>
      </c>
      <c r="J57" s="176">
        <f t="shared" si="1"/>
        <v>1765.4</v>
      </c>
      <c r="K57" s="3">
        <f t="shared" si="2"/>
        <v>1677.13</v>
      </c>
      <c r="L57" s="31">
        <f t="shared" si="3"/>
        <v>1425.9</v>
      </c>
      <c r="M57" s="3">
        <f t="shared" si="4"/>
        <v>1358</v>
      </c>
      <c r="N57" s="177">
        <f t="shared" si="0"/>
        <v>1131.67</v>
      </c>
      <c r="O57" s="135"/>
      <c r="P57" s="136">
        <v>960.17</v>
      </c>
      <c r="Q57" s="3">
        <v>1100</v>
      </c>
    </row>
    <row r="58" spans="1:17" ht="45">
      <c r="A58" s="637"/>
      <c r="B58" s="188"/>
      <c r="C58" s="72" t="s">
        <v>131</v>
      </c>
      <c r="D58" s="194" t="s">
        <v>78</v>
      </c>
      <c r="E58" s="801"/>
      <c r="F58" s="803"/>
      <c r="G58" s="203">
        <v>10.8</v>
      </c>
      <c r="H58" s="23">
        <v>2024</v>
      </c>
      <c r="I58" s="35">
        <v>10</v>
      </c>
      <c r="J58" s="176">
        <f t="shared" si="1"/>
        <v>1765.4</v>
      </c>
      <c r="K58" s="3">
        <f t="shared" si="2"/>
        <v>1677.13</v>
      </c>
      <c r="L58" s="31">
        <f t="shared" si="3"/>
        <v>1425.9</v>
      </c>
      <c r="M58" s="3">
        <f t="shared" si="4"/>
        <v>1358</v>
      </c>
      <c r="N58" s="177">
        <f t="shared" si="0"/>
        <v>1131.67</v>
      </c>
      <c r="O58" s="135"/>
      <c r="P58" s="136">
        <v>960.17</v>
      </c>
      <c r="Q58" s="3">
        <v>1100</v>
      </c>
    </row>
    <row r="59" spans="1:17" ht="60">
      <c r="A59" s="637"/>
      <c r="B59" s="419"/>
      <c r="C59" s="72" t="s">
        <v>95</v>
      </c>
      <c r="D59" s="184"/>
      <c r="E59" s="801"/>
      <c r="F59" s="803"/>
      <c r="G59" s="203">
        <v>10.8</v>
      </c>
      <c r="H59" s="23">
        <v>2024</v>
      </c>
      <c r="I59" s="35">
        <v>10</v>
      </c>
      <c r="J59" s="176">
        <f t="shared" si="1"/>
        <v>1765.4</v>
      </c>
      <c r="K59" s="3">
        <f t="shared" si="2"/>
        <v>1677.13</v>
      </c>
      <c r="L59" s="31">
        <f t="shared" si="3"/>
        <v>1425.9</v>
      </c>
      <c r="M59" s="3">
        <f t="shared" si="4"/>
        <v>1358</v>
      </c>
      <c r="N59" s="177">
        <f t="shared" si="0"/>
        <v>1131.67</v>
      </c>
      <c r="O59" s="135"/>
      <c r="P59" s="136">
        <v>960.17</v>
      </c>
      <c r="Q59" s="3">
        <v>1100</v>
      </c>
    </row>
    <row r="60" spans="1:17" ht="45.75" thickBot="1">
      <c r="A60" s="637"/>
      <c r="B60" s="186"/>
      <c r="C60" s="73" t="s">
        <v>90</v>
      </c>
      <c r="D60" s="187"/>
      <c r="E60" s="801" t="s">
        <v>137</v>
      </c>
      <c r="F60" s="803"/>
      <c r="G60" s="202">
        <v>10.8</v>
      </c>
      <c r="H60" s="26">
        <v>2024</v>
      </c>
      <c r="I60" s="33">
        <v>10</v>
      </c>
      <c r="J60" s="178">
        <f t="shared" si="1"/>
        <v>1765.4</v>
      </c>
      <c r="K60" s="4">
        <f t="shared" si="2"/>
        <v>1677.13</v>
      </c>
      <c r="L60" s="179">
        <f t="shared" si="3"/>
        <v>1425.9</v>
      </c>
      <c r="M60" s="4">
        <f t="shared" si="4"/>
        <v>1358</v>
      </c>
      <c r="N60" s="180">
        <f t="shared" si="0"/>
        <v>1131.67</v>
      </c>
      <c r="O60" s="135"/>
      <c r="P60" s="136">
        <v>960.17</v>
      </c>
      <c r="Q60" s="3">
        <v>1100</v>
      </c>
    </row>
    <row r="61" spans="1:17" ht="45.75" thickBot="1">
      <c r="A61" s="637"/>
      <c r="B61" s="421"/>
      <c r="C61" s="189" t="s">
        <v>105</v>
      </c>
      <c r="D61" s="190"/>
      <c r="E61" s="801"/>
      <c r="F61" s="803"/>
      <c r="G61" s="323">
        <v>10.8</v>
      </c>
      <c r="H61" s="324">
        <v>2024</v>
      </c>
      <c r="I61" s="325">
        <v>10</v>
      </c>
      <c r="J61" s="172">
        <f>M61*1.3</f>
        <v>1948.7</v>
      </c>
      <c r="K61" s="173">
        <f>J61*0.95</f>
        <v>1851.2649999999999</v>
      </c>
      <c r="L61" s="174">
        <f>M61*1.05</f>
        <v>1573.95</v>
      </c>
      <c r="M61" s="173">
        <v>1499</v>
      </c>
      <c r="N61" s="175">
        <f>ROUND(M61/1.2,2)</f>
        <v>1249.17</v>
      </c>
      <c r="O61" s="135"/>
      <c r="P61" s="136"/>
      <c r="Q61" s="4">
        <v>1100</v>
      </c>
    </row>
    <row r="62" spans="1:17" ht="45.75" thickBot="1">
      <c r="A62" s="638"/>
      <c r="B62" s="422"/>
      <c r="C62" s="191" t="s">
        <v>106</v>
      </c>
      <c r="D62" s="154"/>
      <c r="E62" s="805"/>
      <c r="F62" s="804"/>
      <c r="G62" s="202">
        <v>10.8</v>
      </c>
      <c r="H62" s="26">
        <v>2024</v>
      </c>
      <c r="I62" s="33">
        <v>10</v>
      </c>
      <c r="J62" s="178">
        <f t="shared" si="1"/>
        <v>1948.7</v>
      </c>
      <c r="K62" s="4">
        <f t="shared" si="2"/>
        <v>1851.2649999999999</v>
      </c>
      <c r="L62" s="179">
        <f t="shared" si="3"/>
        <v>1573.95</v>
      </c>
      <c r="M62" s="4">
        <v>1499</v>
      </c>
      <c r="N62" s="180">
        <f t="shared" si="0"/>
        <v>1249.17</v>
      </c>
      <c r="O62" s="135"/>
      <c r="P62" s="136">
        <v>960.17</v>
      </c>
      <c r="Q62" s="4">
        <v>1100</v>
      </c>
    </row>
    <row r="63" spans="1:17" ht="15.75" thickBot="1">
      <c r="A63" s="607" t="s">
        <v>36</v>
      </c>
      <c r="B63" s="608"/>
      <c r="C63" s="608"/>
      <c r="D63" s="608"/>
      <c r="E63" s="608"/>
      <c r="F63" s="608"/>
      <c r="G63" s="608"/>
      <c r="H63" s="608"/>
      <c r="I63" s="608"/>
      <c r="J63" s="608"/>
      <c r="K63" s="608"/>
      <c r="L63" s="608"/>
      <c r="M63" s="608"/>
      <c r="N63" s="609"/>
      <c r="O63" s="135"/>
      <c r="P63" s="136">
        <v>0</v>
      </c>
      <c r="Q63" s="36"/>
    </row>
    <row r="64" spans="1:17" ht="19.5" thickBot="1">
      <c r="A64" s="163">
        <v>9</v>
      </c>
      <c r="B64" s="423"/>
      <c r="C64" s="208" t="s">
        <v>6</v>
      </c>
      <c r="D64" s="37" t="s">
        <v>78</v>
      </c>
      <c r="E64" s="322" t="s">
        <v>128</v>
      </c>
      <c r="F64" s="327">
        <v>80</v>
      </c>
      <c r="G64" s="130">
        <v>10</v>
      </c>
      <c r="H64" s="111">
        <v>1506</v>
      </c>
      <c r="I64" s="112">
        <v>13</v>
      </c>
      <c r="J64" s="85">
        <f>ROUND(M64+M64*R64,0)</f>
        <v>793</v>
      </c>
      <c r="K64" s="86">
        <f>J64*0.97</f>
        <v>769.20999999999992</v>
      </c>
      <c r="L64" s="74">
        <f>M64*1.03</f>
        <v>816.79000000000008</v>
      </c>
      <c r="M64" s="86">
        <f>ROUND(755*1.05,0)</f>
        <v>793</v>
      </c>
      <c r="N64" s="87">
        <f t="shared" si="0"/>
        <v>660.83</v>
      </c>
      <c r="O64" s="135"/>
      <c r="P64" s="136">
        <v>523.73</v>
      </c>
      <c r="Q64" s="12">
        <v>589</v>
      </c>
    </row>
    <row r="65" spans="1:17" ht="15.75" thickBot="1">
      <c r="A65" s="607" t="s">
        <v>4</v>
      </c>
      <c r="B65" s="608"/>
      <c r="C65" s="608"/>
      <c r="D65" s="608"/>
      <c r="E65" s="608"/>
      <c r="F65" s="608"/>
      <c r="G65" s="608"/>
      <c r="H65" s="608"/>
      <c r="I65" s="608"/>
      <c r="J65" s="608"/>
      <c r="K65" s="608"/>
      <c r="L65" s="608"/>
      <c r="M65" s="608"/>
      <c r="N65" s="609"/>
      <c r="O65" s="135"/>
      <c r="P65" s="136">
        <v>0</v>
      </c>
      <c r="Q65" s="36"/>
    </row>
    <row r="66" spans="1:17">
      <c r="A66" s="687">
        <v>10</v>
      </c>
      <c r="B66" s="685"/>
      <c r="C66" s="602" t="s">
        <v>6</v>
      </c>
      <c r="D66" s="814" t="s">
        <v>78</v>
      </c>
      <c r="E66" s="816" t="s">
        <v>21</v>
      </c>
      <c r="F66" s="320">
        <v>60</v>
      </c>
      <c r="G66" s="256">
        <v>12.9</v>
      </c>
      <c r="H66" s="237">
        <v>1777</v>
      </c>
      <c r="I66" s="113">
        <v>11</v>
      </c>
      <c r="J66" s="172">
        <f t="shared" ref="J66:J99" si="5">ROUND(M66+M66*R66,0)</f>
        <v>683</v>
      </c>
      <c r="K66" s="173">
        <f t="shared" ref="K66:K73" si="6">ROUND(J66-(J66*S66),0)</f>
        <v>683</v>
      </c>
      <c r="L66" s="174">
        <f>M66*1.03</f>
        <v>703.49</v>
      </c>
      <c r="M66" s="173">
        <f>ROUND(650*1.05,0)</f>
        <v>683</v>
      </c>
      <c r="N66" s="175">
        <f t="shared" si="0"/>
        <v>569.16999999999996</v>
      </c>
      <c r="O66" s="135"/>
      <c r="P66" s="136">
        <v>450.85</v>
      </c>
      <c r="Q66" s="38">
        <v>507</v>
      </c>
    </row>
    <row r="67" spans="1:17" ht="15.75" thickBot="1">
      <c r="A67" s="688"/>
      <c r="B67" s="686"/>
      <c r="C67" s="604"/>
      <c r="D67" s="815"/>
      <c r="E67" s="817"/>
      <c r="F67" s="331">
        <v>80</v>
      </c>
      <c r="G67" s="328">
        <v>10.75</v>
      </c>
      <c r="H67" s="161">
        <v>1973</v>
      </c>
      <c r="I67" s="210">
        <v>10</v>
      </c>
      <c r="J67" s="178">
        <f t="shared" si="5"/>
        <v>793</v>
      </c>
      <c r="K67" s="4">
        <f t="shared" si="6"/>
        <v>793</v>
      </c>
      <c r="L67" s="179">
        <f>M67*1.03</f>
        <v>816.79000000000008</v>
      </c>
      <c r="M67" s="4">
        <f>ROUND(755*1.05,0)</f>
        <v>793</v>
      </c>
      <c r="N67" s="180">
        <f t="shared" si="0"/>
        <v>660.83</v>
      </c>
      <c r="O67" s="135"/>
      <c r="P67" s="136">
        <v>523.73</v>
      </c>
      <c r="Q67" s="39">
        <v>589</v>
      </c>
    </row>
    <row r="68" spans="1:17">
      <c r="A68" s="688"/>
      <c r="B68" s="726"/>
      <c r="C68" s="605" t="s">
        <v>14</v>
      </c>
      <c r="D68" s="814" t="s">
        <v>78</v>
      </c>
      <c r="E68" s="818"/>
      <c r="F68" s="320">
        <v>60</v>
      </c>
      <c r="G68" s="256">
        <v>12.9</v>
      </c>
      <c r="H68" s="237">
        <v>1777</v>
      </c>
      <c r="I68" s="113">
        <v>11</v>
      </c>
      <c r="J68" s="172">
        <f>ROUND(M68+M68*R68,0)</f>
        <v>758</v>
      </c>
      <c r="K68" s="173">
        <f t="shared" si="6"/>
        <v>758</v>
      </c>
      <c r="L68" s="174">
        <f t="shared" ref="L68:L73" si="7">M68*1.04</f>
        <v>788.32</v>
      </c>
      <c r="M68" s="173">
        <f>ROUND(722*1.05,0)</f>
        <v>758</v>
      </c>
      <c r="N68" s="175">
        <f t="shared" si="0"/>
        <v>631.66999999999996</v>
      </c>
      <c r="O68" s="135"/>
      <c r="P68" s="136">
        <v>501.69</v>
      </c>
      <c r="Q68" s="16">
        <v>564</v>
      </c>
    </row>
    <row r="69" spans="1:17" ht="15.75" thickBot="1">
      <c r="A69" s="688"/>
      <c r="B69" s="727"/>
      <c r="C69" s="606"/>
      <c r="D69" s="815"/>
      <c r="E69" s="819"/>
      <c r="F69" s="321">
        <v>80</v>
      </c>
      <c r="G69" s="257">
        <v>10.75</v>
      </c>
      <c r="H69" s="239">
        <v>1973</v>
      </c>
      <c r="I69" s="41">
        <v>10</v>
      </c>
      <c r="J69" s="178">
        <f t="shared" si="5"/>
        <v>910</v>
      </c>
      <c r="K69" s="4">
        <f t="shared" si="6"/>
        <v>910</v>
      </c>
      <c r="L69" s="179">
        <f t="shared" si="7"/>
        <v>946.4</v>
      </c>
      <c r="M69" s="4">
        <f>ROUND(867*1.05,0)</f>
        <v>910</v>
      </c>
      <c r="N69" s="180">
        <f t="shared" si="0"/>
        <v>758.33</v>
      </c>
      <c r="O69" s="135"/>
      <c r="P69" s="136">
        <v>601.69000000000005</v>
      </c>
      <c r="Q69" s="40">
        <v>676</v>
      </c>
    </row>
    <row r="70" spans="1:17">
      <c r="A70" s="688"/>
      <c r="B70" s="683"/>
      <c r="C70" s="605" t="s">
        <v>44</v>
      </c>
      <c r="D70" s="814" t="s">
        <v>78</v>
      </c>
      <c r="E70" s="819"/>
      <c r="F70" s="363">
        <v>60</v>
      </c>
      <c r="G70" s="329">
        <v>12.9</v>
      </c>
      <c r="H70" s="294">
        <v>1777</v>
      </c>
      <c r="I70" s="211">
        <v>11</v>
      </c>
      <c r="J70" s="172">
        <f>ROUND(M70+M70*R70,0)</f>
        <v>758</v>
      </c>
      <c r="K70" s="173">
        <f t="shared" si="6"/>
        <v>758</v>
      </c>
      <c r="L70" s="174">
        <f t="shared" si="7"/>
        <v>788.32</v>
      </c>
      <c r="M70" s="173">
        <f>ROUND(722*1.05,0)</f>
        <v>758</v>
      </c>
      <c r="N70" s="175">
        <f>ROUND(M70/1.2,2)</f>
        <v>631.66999999999996</v>
      </c>
      <c r="O70" s="135"/>
      <c r="P70" s="136">
        <v>501.69</v>
      </c>
      <c r="Q70" s="16">
        <v>564</v>
      </c>
    </row>
    <row r="71" spans="1:17" ht="15.75" thickBot="1">
      <c r="A71" s="688"/>
      <c r="B71" s="684"/>
      <c r="C71" s="714"/>
      <c r="D71" s="815"/>
      <c r="E71" s="819"/>
      <c r="F71" s="331">
        <v>80</v>
      </c>
      <c r="G71" s="328">
        <v>10.75</v>
      </c>
      <c r="H71" s="161">
        <v>1973</v>
      </c>
      <c r="I71" s="210">
        <v>10</v>
      </c>
      <c r="J71" s="178">
        <f>ROUND(M71+M71*R71,0)</f>
        <v>910</v>
      </c>
      <c r="K71" s="4">
        <f t="shared" si="6"/>
        <v>910</v>
      </c>
      <c r="L71" s="179">
        <f t="shared" si="7"/>
        <v>946.4</v>
      </c>
      <c r="M71" s="4">
        <f>ROUND(867*1.05,0)</f>
        <v>910</v>
      </c>
      <c r="N71" s="180">
        <f>ROUND(M71/1.2,2)</f>
        <v>758.33</v>
      </c>
      <c r="O71" s="135"/>
      <c r="P71" s="136">
        <v>601.69000000000005</v>
      </c>
      <c r="Q71" s="40">
        <v>676</v>
      </c>
    </row>
    <row r="72" spans="1:17" ht="19.5" thickBot="1">
      <c r="A72" s="688"/>
      <c r="B72" s="337"/>
      <c r="C72" s="274" t="s">
        <v>15</v>
      </c>
      <c r="D72" s="37"/>
      <c r="E72" s="818"/>
      <c r="F72" s="322">
        <v>60</v>
      </c>
      <c r="G72" s="130">
        <v>12.9</v>
      </c>
      <c r="H72" s="111">
        <v>1777</v>
      </c>
      <c r="I72" s="192">
        <v>11</v>
      </c>
      <c r="J72" s="172">
        <f>ROUND(M72+M72*R72,0)</f>
        <v>758</v>
      </c>
      <c r="K72" s="173">
        <f t="shared" si="6"/>
        <v>758</v>
      </c>
      <c r="L72" s="174">
        <f t="shared" si="7"/>
        <v>788.32</v>
      </c>
      <c r="M72" s="173">
        <f>ROUND(722*1.05,0)</f>
        <v>758</v>
      </c>
      <c r="N72" s="175">
        <f>ROUND(M72/1.2,2)</f>
        <v>631.66999999999996</v>
      </c>
      <c r="O72" s="135"/>
      <c r="P72" s="136">
        <v>501.69</v>
      </c>
      <c r="Q72" s="16">
        <v>564</v>
      </c>
    </row>
    <row r="73" spans="1:17" ht="19.5" thickBot="1">
      <c r="A73" s="688"/>
      <c r="B73" s="336"/>
      <c r="C73" s="276" t="s">
        <v>132</v>
      </c>
      <c r="D73" s="205"/>
      <c r="E73" s="820"/>
      <c r="F73" s="322">
        <v>60</v>
      </c>
      <c r="G73" s="130">
        <v>12.9</v>
      </c>
      <c r="H73" s="111">
        <v>1777</v>
      </c>
      <c r="I73" s="192">
        <v>11</v>
      </c>
      <c r="J73" s="172">
        <f>ROUND(M73+M73*R73,0)</f>
        <v>758</v>
      </c>
      <c r="K73" s="173">
        <f t="shared" si="6"/>
        <v>758</v>
      </c>
      <c r="L73" s="174">
        <f t="shared" si="7"/>
        <v>788.32</v>
      </c>
      <c r="M73" s="173">
        <f>ROUND(722*1.05,0)</f>
        <v>758</v>
      </c>
      <c r="N73" s="175">
        <f>ROUND(M73/1.2,2)</f>
        <v>631.66999999999996</v>
      </c>
      <c r="O73" s="135"/>
      <c r="P73" s="136">
        <v>501.69</v>
      </c>
      <c r="Q73" s="16">
        <v>564</v>
      </c>
    </row>
    <row r="74" spans="1:17" ht="18.75">
      <c r="A74" s="688"/>
      <c r="B74" s="252"/>
      <c r="C74" s="821" t="s">
        <v>101</v>
      </c>
      <c r="D74" s="101" t="s">
        <v>78</v>
      </c>
      <c r="E74" s="794" t="s">
        <v>21</v>
      </c>
      <c r="F74" s="245">
        <v>60</v>
      </c>
      <c r="G74" s="330">
        <v>12.9</v>
      </c>
      <c r="H74" s="237">
        <v>1777</v>
      </c>
      <c r="I74" s="113">
        <v>11</v>
      </c>
      <c r="J74" s="172">
        <f t="shared" si="5"/>
        <v>1107</v>
      </c>
      <c r="K74" s="173">
        <f>J74*0.95</f>
        <v>1051.6499999999999</v>
      </c>
      <c r="L74" s="174">
        <f>M74*1.05</f>
        <v>1162.3500000000001</v>
      </c>
      <c r="M74" s="173">
        <f>ROUND(1054*1.05,0)</f>
        <v>1107</v>
      </c>
      <c r="N74" s="175">
        <f t="shared" si="0"/>
        <v>922.5</v>
      </c>
      <c r="O74" s="135"/>
      <c r="P74" s="136">
        <v>782.2</v>
      </c>
      <c r="Q74" s="43">
        <v>896</v>
      </c>
    </row>
    <row r="75" spans="1:17" ht="19.5" thickBot="1">
      <c r="A75" s="688"/>
      <c r="B75" s="209"/>
      <c r="C75" s="822"/>
      <c r="D75" s="154"/>
      <c r="E75" s="795"/>
      <c r="F75" s="246">
        <v>80</v>
      </c>
      <c r="G75" s="257">
        <v>10.75</v>
      </c>
      <c r="H75" s="239">
        <v>1973</v>
      </c>
      <c r="I75" s="149">
        <v>10</v>
      </c>
      <c r="J75" s="178">
        <f t="shared" si="5"/>
        <v>1244</v>
      </c>
      <c r="K75" s="4">
        <f t="shared" ref="K75:K99" si="8">J75*0.95</f>
        <v>1181.8</v>
      </c>
      <c r="L75" s="179">
        <f t="shared" ref="L75:L99" si="9">M75*1.05</f>
        <v>1306.2</v>
      </c>
      <c r="M75" s="4">
        <f>ROUND(1185*1.05,0)</f>
        <v>1244</v>
      </c>
      <c r="N75" s="180">
        <f t="shared" si="0"/>
        <v>1036.67</v>
      </c>
      <c r="O75" s="135"/>
      <c r="P75" s="136">
        <v>879.66</v>
      </c>
      <c r="Q75" s="44">
        <v>1008</v>
      </c>
    </row>
    <row r="76" spans="1:17" ht="18.75">
      <c r="A76" s="688"/>
      <c r="B76" s="252"/>
      <c r="C76" s="823" t="s">
        <v>102</v>
      </c>
      <c r="D76" s="101" t="s">
        <v>78</v>
      </c>
      <c r="E76" s="795"/>
      <c r="F76" s="245">
        <v>60</v>
      </c>
      <c r="G76" s="330">
        <v>12.9</v>
      </c>
      <c r="H76" s="237">
        <v>1777</v>
      </c>
      <c r="I76" s="113">
        <v>11</v>
      </c>
      <c r="J76" s="172">
        <f t="shared" si="5"/>
        <v>1107</v>
      </c>
      <c r="K76" s="173">
        <f t="shared" si="8"/>
        <v>1051.6499999999999</v>
      </c>
      <c r="L76" s="174">
        <f t="shared" si="9"/>
        <v>1162.3500000000001</v>
      </c>
      <c r="M76" s="173">
        <f>ROUND(1054*1.05,0)</f>
        <v>1107</v>
      </c>
      <c r="N76" s="175">
        <f t="shared" si="0"/>
        <v>922.5</v>
      </c>
      <c r="O76" s="135"/>
      <c r="P76" s="136">
        <v>782.2</v>
      </c>
      <c r="Q76" s="45">
        <v>896</v>
      </c>
    </row>
    <row r="77" spans="1:17" ht="19.5" thickBot="1">
      <c r="A77" s="688"/>
      <c r="B77" s="339"/>
      <c r="C77" s="824"/>
      <c r="D77" s="154"/>
      <c r="E77" s="795"/>
      <c r="F77" s="246">
        <v>80</v>
      </c>
      <c r="G77" s="257">
        <v>10.75</v>
      </c>
      <c r="H77" s="239">
        <v>1973</v>
      </c>
      <c r="I77" s="149">
        <v>10</v>
      </c>
      <c r="J77" s="178">
        <f t="shared" si="5"/>
        <v>1244</v>
      </c>
      <c r="K77" s="4">
        <f t="shared" si="8"/>
        <v>1181.8</v>
      </c>
      <c r="L77" s="179">
        <f t="shared" si="9"/>
        <v>1306.2</v>
      </c>
      <c r="M77" s="4">
        <f>ROUND(1185*1.05,0)</f>
        <v>1244</v>
      </c>
      <c r="N77" s="180">
        <f t="shared" si="0"/>
        <v>1036.67</v>
      </c>
      <c r="O77" s="135"/>
      <c r="P77" s="136">
        <v>879.66</v>
      </c>
      <c r="Q77" s="44">
        <v>1008</v>
      </c>
    </row>
    <row r="78" spans="1:17" ht="18.75">
      <c r="A78" s="688"/>
      <c r="B78" s="252"/>
      <c r="C78" s="821" t="s">
        <v>103</v>
      </c>
      <c r="D78" s="101" t="s">
        <v>78</v>
      </c>
      <c r="E78" s="795"/>
      <c r="F78" s="245">
        <v>60</v>
      </c>
      <c r="G78" s="256">
        <v>12.9</v>
      </c>
      <c r="H78" s="237">
        <v>1777</v>
      </c>
      <c r="I78" s="113">
        <v>11</v>
      </c>
      <c r="J78" s="172">
        <f t="shared" si="5"/>
        <v>1107</v>
      </c>
      <c r="K78" s="173">
        <f t="shared" si="8"/>
        <v>1051.6499999999999</v>
      </c>
      <c r="L78" s="174">
        <f t="shared" si="9"/>
        <v>1162.3500000000001</v>
      </c>
      <c r="M78" s="173">
        <f>ROUND(1054*1.05,0)</f>
        <v>1107</v>
      </c>
      <c r="N78" s="175">
        <f t="shared" si="0"/>
        <v>922.5</v>
      </c>
      <c r="O78" s="135"/>
      <c r="P78" s="136">
        <v>782.2</v>
      </c>
      <c r="Q78" s="45">
        <v>896</v>
      </c>
    </row>
    <row r="79" spans="1:17" ht="19.5" thickBot="1">
      <c r="A79" s="688"/>
      <c r="B79" s="209"/>
      <c r="C79" s="822"/>
      <c r="D79" s="154"/>
      <c r="E79" s="795"/>
      <c r="F79" s="246">
        <v>80</v>
      </c>
      <c r="G79" s="257">
        <v>10.75</v>
      </c>
      <c r="H79" s="239">
        <v>1973</v>
      </c>
      <c r="I79" s="149">
        <v>10</v>
      </c>
      <c r="J79" s="178">
        <f t="shared" si="5"/>
        <v>1244</v>
      </c>
      <c r="K79" s="4">
        <f t="shared" si="8"/>
        <v>1181.8</v>
      </c>
      <c r="L79" s="179">
        <f t="shared" si="9"/>
        <v>1306.2</v>
      </c>
      <c r="M79" s="4">
        <f>ROUND(1185*1.05,0)</f>
        <v>1244</v>
      </c>
      <c r="N79" s="180">
        <f t="shared" si="0"/>
        <v>1036.67</v>
      </c>
      <c r="O79" s="135"/>
      <c r="P79" s="136">
        <v>879.66</v>
      </c>
      <c r="Q79" s="44">
        <v>1008</v>
      </c>
    </row>
    <row r="80" spans="1:17" ht="18.75">
      <c r="A80" s="688"/>
      <c r="B80" s="252"/>
      <c r="C80" s="602" t="s">
        <v>100</v>
      </c>
      <c r="D80" s="101" t="s">
        <v>78</v>
      </c>
      <c r="E80" s="795"/>
      <c r="F80" s="245">
        <v>60</v>
      </c>
      <c r="G80" s="256">
        <v>12.9</v>
      </c>
      <c r="H80" s="237">
        <v>1777</v>
      </c>
      <c r="I80" s="113">
        <v>11</v>
      </c>
      <c r="J80" s="172">
        <f t="shared" si="5"/>
        <v>1107</v>
      </c>
      <c r="K80" s="173">
        <f t="shared" si="8"/>
        <v>1051.6499999999999</v>
      </c>
      <c r="L80" s="174">
        <f t="shared" si="9"/>
        <v>1162.3500000000001</v>
      </c>
      <c r="M80" s="173">
        <f>ROUND(1054*1.05,0)</f>
        <v>1107</v>
      </c>
      <c r="N80" s="175">
        <f t="shared" si="0"/>
        <v>922.5</v>
      </c>
      <c r="O80" s="135"/>
      <c r="P80" s="136">
        <v>782.2</v>
      </c>
      <c r="Q80" s="45">
        <v>896</v>
      </c>
    </row>
    <row r="81" spans="1:17" ht="19.5" thickBot="1">
      <c r="A81" s="688"/>
      <c r="B81" s="339"/>
      <c r="C81" s="604"/>
      <c r="D81" s="154"/>
      <c r="E81" s="795"/>
      <c r="F81" s="246">
        <v>80</v>
      </c>
      <c r="G81" s="257">
        <v>10.75</v>
      </c>
      <c r="H81" s="239">
        <v>1973</v>
      </c>
      <c r="I81" s="149">
        <v>10</v>
      </c>
      <c r="J81" s="178">
        <f t="shared" si="5"/>
        <v>1244</v>
      </c>
      <c r="K81" s="4">
        <f t="shared" si="8"/>
        <v>1181.8</v>
      </c>
      <c r="L81" s="179">
        <f t="shared" si="9"/>
        <v>1306.2</v>
      </c>
      <c r="M81" s="4">
        <f>ROUND(1185*1.05,0)</f>
        <v>1244</v>
      </c>
      <c r="N81" s="180">
        <f t="shared" si="0"/>
        <v>1036.67</v>
      </c>
      <c r="O81" s="135"/>
      <c r="P81" s="136">
        <v>879.66</v>
      </c>
      <c r="Q81" s="44">
        <v>1008</v>
      </c>
    </row>
    <row r="82" spans="1:17" ht="18.75">
      <c r="A82" s="688"/>
      <c r="B82" s="342"/>
      <c r="C82" s="825" t="s">
        <v>99</v>
      </c>
      <c r="D82" s="101" t="s">
        <v>78</v>
      </c>
      <c r="E82" s="795"/>
      <c r="F82" s="245">
        <v>60</v>
      </c>
      <c r="G82" s="256">
        <v>12.9</v>
      </c>
      <c r="H82" s="237">
        <v>1777</v>
      </c>
      <c r="I82" s="113">
        <v>11</v>
      </c>
      <c r="J82" s="172">
        <f t="shared" si="5"/>
        <v>1107</v>
      </c>
      <c r="K82" s="173">
        <f t="shared" si="8"/>
        <v>1051.6499999999999</v>
      </c>
      <c r="L82" s="174">
        <f t="shared" si="9"/>
        <v>1162.3500000000001</v>
      </c>
      <c r="M82" s="173">
        <f>ROUND(1054*1.05,0)</f>
        <v>1107</v>
      </c>
      <c r="N82" s="175">
        <f t="shared" si="0"/>
        <v>922.5</v>
      </c>
      <c r="O82" s="135"/>
      <c r="P82" s="136">
        <v>782.2</v>
      </c>
      <c r="Q82" s="45">
        <v>896</v>
      </c>
    </row>
    <row r="83" spans="1:17" ht="19.5" thickBot="1">
      <c r="A83" s="688"/>
      <c r="B83" s="209"/>
      <c r="C83" s="826"/>
      <c r="D83" s="154"/>
      <c r="E83" s="795"/>
      <c r="F83" s="246">
        <v>80</v>
      </c>
      <c r="G83" s="257">
        <v>10.75</v>
      </c>
      <c r="H83" s="239">
        <v>1973</v>
      </c>
      <c r="I83" s="41">
        <v>10</v>
      </c>
      <c r="J83" s="178">
        <f t="shared" si="5"/>
        <v>1244</v>
      </c>
      <c r="K83" s="4">
        <f t="shared" si="8"/>
        <v>1181.8</v>
      </c>
      <c r="L83" s="179">
        <f t="shared" si="9"/>
        <v>1306.2</v>
      </c>
      <c r="M83" s="4">
        <f>ROUND(1185*1.05,0)</f>
        <v>1244</v>
      </c>
      <c r="N83" s="180">
        <f t="shared" si="0"/>
        <v>1036.67</v>
      </c>
      <c r="O83" s="135"/>
      <c r="P83" s="136">
        <v>879.66</v>
      </c>
      <c r="Q83" s="44">
        <v>1008</v>
      </c>
    </row>
    <row r="84" spans="1:17" ht="18.75">
      <c r="A84" s="688"/>
      <c r="B84" s="342"/>
      <c r="C84" s="825" t="s">
        <v>109</v>
      </c>
      <c r="D84" s="101" t="s">
        <v>78</v>
      </c>
      <c r="E84" s="795"/>
      <c r="F84" s="245">
        <v>60</v>
      </c>
      <c r="G84" s="256">
        <v>12.9</v>
      </c>
      <c r="H84" s="237">
        <v>1777</v>
      </c>
      <c r="I84" s="113">
        <v>11</v>
      </c>
      <c r="J84" s="172">
        <f t="shared" si="5"/>
        <v>1107</v>
      </c>
      <c r="K84" s="173">
        <f t="shared" si="8"/>
        <v>1051.6499999999999</v>
      </c>
      <c r="L84" s="174">
        <f t="shared" si="9"/>
        <v>1162.3500000000001</v>
      </c>
      <c r="M84" s="173">
        <f>ROUND(1054*1.05,0)</f>
        <v>1107</v>
      </c>
      <c r="N84" s="175">
        <f t="shared" si="0"/>
        <v>922.5</v>
      </c>
      <c r="O84" s="135"/>
      <c r="P84" s="136">
        <v>782.2</v>
      </c>
      <c r="Q84" s="46">
        <v>896</v>
      </c>
    </row>
    <row r="85" spans="1:17" ht="19.5" thickBot="1">
      <c r="A85" s="688"/>
      <c r="B85" s="209"/>
      <c r="C85" s="826"/>
      <c r="D85" s="154"/>
      <c r="E85" s="795"/>
      <c r="F85" s="246">
        <v>80</v>
      </c>
      <c r="G85" s="257">
        <v>10.75</v>
      </c>
      <c r="H85" s="239">
        <v>1973</v>
      </c>
      <c r="I85" s="41">
        <v>10</v>
      </c>
      <c r="J85" s="178">
        <f t="shared" si="5"/>
        <v>1244</v>
      </c>
      <c r="K85" s="4">
        <f t="shared" si="8"/>
        <v>1181.8</v>
      </c>
      <c r="L85" s="179">
        <f t="shared" si="9"/>
        <v>1306.2</v>
      </c>
      <c r="M85" s="4">
        <f>ROUND(1185*1.05,0)</f>
        <v>1244</v>
      </c>
      <c r="N85" s="180">
        <f t="shared" si="0"/>
        <v>1036.67</v>
      </c>
      <c r="O85" s="135"/>
      <c r="P85" s="136">
        <v>879.66</v>
      </c>
      <c r="Q85" s="44">
        <v>1008</v>
      </c>
    </row>
    <row r="86" spans="1:17" ht="18.75">
      <c r="A86" s="688"/>
      <c r="B86" s="252"/>
      <c r="C86" s="825" t="s">
        <v>97</v>
      </c>
      <c r="D86" s="101" t="s">
        <v>78</v>
      </c>
      <c r="E86" s="795"/>
      <c r="F86" s="245">
        <v>60</v>
      </c>
      <c r="G86" s="256">
        <v>12.9</v>
      </c>
      <c r="H86" s="237">
        <v>1777</v>
      </c>
      <c r="I86" s="113">
        <v>11</v>
      </c>
      <c r="J86" s="172">
        <f t="shared" si="5"/>
        <v>1107</v>
      </c>
      <c r="K86" s="173">
        <f t="shared" si="8"/>
        <v>1051.6499999999999</v>
      </c>
      <c r="L86" s="174">
        <f t="shared" si="9"/>
        <v>1162.3500000000001</v>
      </c>
      <c r="M86" s="173">
        <f>ROUND(1054*1.05,0)</f>
        <v>1107</v>
      </c>
      <c r="N86" s="175">
        <f t="shared" si="0"/>
        <v>922.5</v>
      </c>
      <c r="O86" s="135"/>
      <c r="P86" s="136">
        <v>782.2</v>
      </c>
      <c r="Q86" s="45">
        <v>896</v>
      </c>
    </row>
    <row r="87" spans="1:17" ht="19.5" thickBot="1">
      <c r="A87" s="688"/>
      <c r="B87" s="209"/>
      <c r="C87" s="826"/>
      <c r="D87" s="154"/>
      <c r="E87" s="795"/>
      <c r="F87" s="246">
        <v>80</v>
      </c>
      <c r="G87" s="257">
        <v>10.75</v>
      </c>
      <c r="H87" s="239">
        <v>1973</v>
      </c>
      <c r="I87" s="41">
        <v>10</v>
      </c>
      <c r="J87" s="178">
        <f t="shared" si="5"/>
        <v>1244</v>
      </c>
      <c r="K87" s="4">
        <f t="shared" si="8"/>
        <v>1181.8</v>
      </c>
      <c r="L87" s="179">
        <f t="shared" si="9"/>
        <v>1306.2</v>
      </c>
      <c r="M87" s="4">
        <f>ROUND(1185*1.05,0)</f>
        <v>1244</v>
      </c>
      <c r="N87" s="180">
        <f t="shared" si="0"/>
        <v>1036.67</v>
      </c>
      <c r="O87" s="135"/>
      <c r="P87" s="136">
        <v>879.66</v>
      </c>
      <c r="Q87" s="44">
        <v>1008</v>
      </c>
    </row>
    <row r="88" spans="1:17" ht="18.75">
      <c r="A88" s="688"/>
      <c r="B88" s="252"/>
      <c r="C88" s="825" t="s">
        <v>96</v>
      </c>
      <c r="D88" s="101" t="s">
        <v>78</v>
      </c>
      <c r="E88" s="795"/>
      <c r="F88" s="245">
        <v>60</v>
      </c>
      <c r="G88" s="256">
        <v>12.9</v>
      </c>
      <c r="H88" s="237">
        <v>1777</v>
      </c>
      <c r="I88" s="113">
        <v>11</v>
      </c>
      <c r="J88" s="172">
        <f t="shared" si="5"/>
        <v>1107</v>
      </c>
      <c r="K88" s="173">
        <f t="shared" si="8"/>
        <v>1051.6499999999999</v>
      </c>
      <c r="L88" s="174">
        <f t="shared" si="9"/>
        <v>1162.3500000000001</v>
      </c>
      <c r="M88" s="173">
        <f>ROUND(1054*1.05,0)</f>
        <v>1107</v>
      </c>
      <c r="N88" s="175">
        <f t="shared" si="0"/>
        <v>922.5</v>
      </c>
      <c r="O88" s="135"/>
      <c r="P88" s="136">
        <v>782.2</v>
      </c>
      <c r="Q88" s="45">
        <v>896</v>
      </c>
    </row>
    <row r="89" spans="1:17" ht="19.5" thickBot="1">
      <c r="A89" s="688"/>
      <c r="B89" s="209"/>
      <c r="C89" s="826"/>
      <c r="D89" s="154"/>
      <c r="E89" s="795"/>
      <c r="F89" s="246">
        <v>80</v>
      </c>
      <c r="G89" s="257">
        <v>10.75</v>
      </c>
      <c r="H89" s="239">
        <v>1973</v>
      </c>
      <c r="I89" s="41">
        <v>10</v>
      </c>
      <c r="J89" s="178">
        <f t="shared" si="5"/>
        <v>1244</v>
      </c>
      <c r="K89" s="4">
        <f t="shared" si="8"/>
        <v>1181.8</v>
      </c>
      <c r="L89" s="179">
        <f t="shared" si="9"/>
        <v>1306.2</v>
      </c>
      <c r="M89" s="4">
        <f>ROUND(1185*1.05,0)</f>
        <v>1244</v>
      </c>
      <c r="N89" s="180">
        <f t="shared" si="0"/>
        <v>1036.67</v>
      </c>
      <c r="O89" s="135"/>
      <c r="P89" s="136">
        <v>879.66</v>
      </c>
      <c r="Q89" s="44">
        <v>1008</v>
      </c>
    </row>
    <row r="90" spans="1:17" ht="18.75">
      <c r="A90" s="688"/>
      <c r="B90" s="252"/>
      <c r="C90" s="825" t="s">
        <v>93</v>
      </c>
      <c r="D90" s="101" t="s">
        <v>78</v>
      </c>
      <c r="E90" s="795"/>
      <c r="F90" s="245">
        <v>60</v>
      </c>
      <c r="G90" s="256">
        <v>12.9</v>
      </c>
      <c r="H90" s="237">
        <v>1777</v>
      </c>
      <c r="I90" s="113">
        <v>11</v>
      </c>
      <c r="J90" s="172">
        <f t="shared" si="5"/>
        <v>1107</v>
      </c>
      <c r="K90" s="173">
        <f t="shared" si="8"/>
        <v>1051.6499999999999</v>
      </c>
      <c r="L90" s="174">
        <f t="shared" si="9"/>
        <v>1162.3500000000001</v>
      </c>
      <c r="M90" s="173">
        <f>ROUND(1054*1.05,0)</f>
        <v>1107</v>
      </c>
      <c r="N90" s="175">
        <f t="shared" si="0"/>
        <v>922.5</v>
      </c>
      <c r="O90" s="135"/>
      <c r="P90" s="136">
        <v>782.2</v>
      </c>
      <c r="Q90" s="45">
        <v>896</v>
      </c>
    </row>
    <row r="91" spans="1:17" ht="19.5" thickBot="1">
      <c r="A91" s="688"/>
      <c r="B91" s="339"/>
      <c r="C91" s="826"/>
      <c r="D91" s="154"/>
      <c r="E91" s="795"/>
      <c r="F91" s="246">
        <v>80</v>
      </c>
      <c r="G91" s="257">
        <v>10.75</v>
      </c>
      <c r="H91" s="239">
        <v>1973</v>
      </c>
      <c r="I91" s="41">
        <v>10</v>
      </c>
      <c r="J91" s="178">
        <f t="shared" si="5"/>
        <v>1244</v>
      </c>
      <c r="K91" s="4">
        <f t="shared" si="8"/>
        <v>1181.8</v>
      </c>
      <c r="L91" s="179">
        <f t="shared" si="9"/>
        <v>1306.2</v>
      </c>
      <c r="M91" s="4">
        <f>ROUND(1185*1.05,0)</f>
        <v>1244</v>
      </c>
      <c r="N91" s="180">
        <f t="shared" si="0"/>
        <v>1036.67</v>
      </c>
      <c r="O91" s="135"/>
      <c r="P91" s="136">
        <v>879.66</v>
      </c>
      <c r="Q91" s="44">
        <v>1008</v>
      </c>
    </row>
    <row r="92" spans="1:17" ht="18.75">
      <c r="A92" s="688"/>
      <c r="B92" s="342"/>
      <c r="C92" s="825" t="s">
        <v>94</v>
      </c>
      <c r="D92" s="101" t="s">
        <v>78</v>
      </c>
      <c r="E92" s="795"/>
      <c r="F92" s="245">
        <v>60</v>
      </c>
      <c r="G92" s="256">
        <v>12.9</v>
      </c>
      <c r="H92" s="237">
        <v>1777</v>
      </c>
      <c r="I92" s="113">
        <v>11</v>
      </c>
      <c r="J92" s="172">
        <f t="shared" si="5"/>
        <v>1107</v>
      </c>
      <c r="K92" s="173">
        <f t="shared" si="8"/>
        <v>1051.6499999999999</v>
      </c>
      <c r="L92" s="174">
        <f t="shared" si="9"/>
        <v>1162.3500000000001</v>
      </c>
      <c r="M92" s="173">
        <f>ROUND(1054*1.05,0)</f>
        <v>1107</v>
      </c>
      <c r="N92" s="175">
        <f t="shared" si="0"/>
        <v>922.5</v>
      </c>
      <c r="O92" s="135"/>
      <c r="P92" s="136">
        <v>782.2</v>
      </c>
      <c r="Q92" s="47">
        <v>896</v>
      </c>
    </row>
    <row r="93" spans="1:17" ht="19.5" thickBot="1">
      <c r="A93" s="688"/>
      <c r="B93" s="339"/>
      <c r="C93" s="826"/>
      <c r="D93" s="154"/>
      <c r="E93" s="795"/>
      <c r="F93" s="246">
        <v>80</v>
      </c>
      <c r="G93" s="257">
        <v>10.75</v>
      </c>
      <c r="H93" s="239">
        <v>1973</v>
      </c>
      <c r="I93" s="41">
        <v>10</v>
      </c>
      <c r="J93" s="178">
        <f t="shared" si="5"/>
        <v>1244</v>
      </c>
      <c r="K93" s="4">
        <f t="shared" si="8"/>
        <v>1181.8</v>
      </c>
      <c r="L93" s="179">
        <f t="shared" si="9"/>
        <v>1306.2</v>
      </c>
      <c r="M93" s="4">
        <f>ROUND(1185*1.05,0)</f>
        <v>1244</v>
      </c>
      <c r="N93" s="180">
        <f t="shared" si="0"/>
        <v>1036.67</v>
      </c>
      <c r="O93" s="135"/>
      <c r="P93" s="136">
        <v>879.66</v>
      </c>
      <c r="Q93" s="44">
        <v>1008</v>
      </c>
    </row>
    <row r="94" spans="1:17" ht="18.75">
      <c r="A94" s="688"/>
      <c r="B94" s="342"/>
      <c r="C94" s="825" t="s">
        <v>112</v>
      </c>
      <c r="D94" s="101" t="s">
        <v>78</v>
      </c>
      <c r="E94" s="795"/>
      <c r="F94" s="245">
        <v>60</v>
      </c>
      <c r="G94" s="256">
        <v>12.9</v>
      </c>
      <c r="H94" s="237">
        <v>1777</v>
      </c>
      <c r="I94" s="113">
        <v>11</v>
      </c>
      <c r="J94" s="172">
        <f>ROUND(M94+M94*R94,0)</f>
        <v>1107</v>
      </c>
      <c r="K94" s="173">
        <f>J94*0.95</f>
        <v>1051.6499999999999</v>
      </c>
      <c r="L94" s="174">
        <f>M94*1.05</f>
        <v>1162.3500000000001</v>
      </c>
      <c r="M94" s="173">
        <f>ROUND(1054*1.05,0)</f>
        <v>1107</v>
      </c>
      <c r="N94" s="175">
        <f>ROUND(M94/1.2,2)</f>
        <v>922.5</v>
      </c>
      <c r="O94" s="135"/>
      <c r="P94" s="136"/>
      <c r="Q94" s="47">
        <v>896</v>
      </c>
    </row>
    <row r="95" spans="1:17" ht="19.5" thickBot="1">
      <c r="A95" s="688"/>
      <c r="B95" s="339"/>
      <c r="C95" s="826"/>
      <c r="D95" s="154"/>
      <c r="E95" s="795"/>
      <c r="F95" s="246">
        <v>80</v>
      </c>
      <c r="G95" s="257">
        <v>10.75</v>
      </c>
      <c r="H95" s="239">
        <v>1973</v>
      </c>
      <c r="I95" s="41">
        <v>10</v>
      </c>
      <c r="J95" s="178">
        <f>ROUND(M95+M95*R95,0)</f>
        <v>1244</v>
      </c>
      <c r="K95" s="4">
        <f>J95*0.95</f>
        <v>1181.8</v>
      </c>
      <c r="L95" s="179">
        <f>M95*1.05</f>
        <v>1306.2</v>
      </c>
      <c r="M95" s="4">
        <f>ROUND(1185*1.05,0)</f>
        <v>1244</v>
      </c>
      <c r="N95" s="180">
        <f>ROUND(M95/1.2,2)</f>
        <v>1036.67</v>
      </c>
      <c r="O95" s="135"/>
      <c r="P95" s="136"/>
      <c r="Q95" s="44">
        <v>1008</v>
      </c>
    </row>
    <row r="96" spans="1:17" ht="18.75">
      <c r="A96" s="688"/>
      <c r="B96" s="342"/>
      <c r="C96" s="825" t="s">
        <v>133</v>
      </c>
      <c r="D96" s="101" t="s">
        <v>78</v>
      </c>
      <c r="E96" s="795"/>
      <c r="F96" s="245">
        <v>60</v>
      </c>
      <c r="G96" s="256">
        <v>12.9</v>
      </c>
      <c r="H96" s="237">
        <v>1777</v>
      </c>
      <c r="I96" s="113">
        <v>11</v>
      </c>
      <c r="J96" s="172">
        <f>ROUND(M96+M96*R96,0)</f>
        <v>1107</v>
      </c>
      <c r="K96" s="173">
        <f>J96*0.95</f>
        <v>1051.6499999999999</v>
      </c>
      <c r="L96" s="174">
        <f>M96*1.05</f>
        <v>1162.3500000000001</v>
      </c>
      <c r="M96" s="173">
        <f>ROUND(1054*1.05,0)</f>
        <v>1107</v>
      </c>
      <c r="N96" s="175">
        <f>ROUND(M96/1.2,2)</f>
        <v>922.5</v>
      </c>
      <c r="O96" s="135"/>
      <c r="P96" s="136"/>
      <c r="Q96" s="47">
        <v>896</v>
      </c>
    </row>
    <row r="97" spans="1:17" ht="19.5" thickBot="1">
      <c r="A97" s="688"/>
      <c r="B97" s="339"/>
      <c r="C97" s="826"/>
      <c r="D97" s="154"/>
      <c r="E97" s="795"/>
      <c r="F97" s="246">
        <v>80</v>
      </c>
      <c r="G97" s="257">
        <v>10.75</v>
      </c>
      <c r="H97" s="239">
        <v>1973</v>
      </c>
      <c r="I97" s="41">
        <v>10</v>
      </c>
      <c r="J97" s="178">
        <f>ROUND(M97+M97*R97,0)</f>
        <v>1244</v>
      </c>
      <c r="K97" s="4">
        <f>J97*0.95</f>
        <v>1181.8</v>
      </c>
      <c r="L97" s="179">
        <f>M97*1.05</f>
        <v>1306.2</v>
      </c>
      <c r="M97" s="4">
        <f>ROUND(1185*1.05,0)</f>
        <v>1244</v>
      </c>
      <c r="N97" s="180">
        <f>ROUND(M97/1.2,2)</f>
        <v>1036.67</v>
      </c>
      <c r="O97" s="135"/>
      <c r="P97" s="136"/>
      <c r="Q97" s="44">
        <v>1008</v>
      </c>
    </row>
    <row r="98" spans="1:17" ht="18.75">
      <c r="A98" s="688"/>
      <c r="B98" s="335"/>
      <c r="C98" s="827" t="s">
        <v>95</v>
      </c>
      <c r="D98" s="193" t="s">
        <v>78</v>
      </c>
      <c r="E98" s="795"/>
      <c r="F98" s="245">
        <v>60</v>
      </c>
      <c r="G98" s="256">
        <v>12.9</v>
      </c>
      <c r="H98" s="237">
        <v>1777</v>
      </c>
      <c r="I98" s="113">
        <v>11</v>
      </c>
      <c r="J98" s="172">
        <f t="shared" si="5"/>
        <v>1107</v>
      </c>
      <c r="K98" s="173">
        <f t="shared" si="8"/>
        <v>1051.6499999999999</v>
      </c>
      <c r="L98" s="174">
        <f t="shared" si="9"/>
        <v>1162.3500000000001</v>
      </c>
      <c r="M98" s="173">
        <f>ROUND(1054*1.05,0)</f>
        <v>1107</v>
      </c>
      <c r="N98" s="175">
        <f t="shared" si="0"/>
        <v>922.5</v>
      </c>
      <c r="O98" s="135"/>
      <c r="P98" s="136">
        <v>782.2</v>
      </c>
      <c r="Q98" s="47">
        <v>896</v>
      </c>
    </row>
    <row r="99" spans="1:17" ht="19.5" thickBot="1">
      <c r="A99" s="689"/>
      <c r="B99" s="209"/>
      <c r="C99" s="826"/>
      <c r="D99" s="154"/>
      <c r="E99" s="796"/>
      <c r="F99" s="246">
        <v>80</v>
      </c>
      <c r="G99" s="257">
        <v>10.75</v>
      </c>
      <c r="H99" s="239">
        <v>1973</v>
      </c>
      <c r="I99" s="41">
        <v>10</v>
      </c>
      <c r="J99" s="178">
        <f t="shared" si="5"/>
        <v>1244</v>
      </c>
      <c r="K99" s="4">
        <f t="shared" si="8"/>
        <v>1181.8</v>
      </c>
      <c r="L99" s="179">
        <f t="shared" si="9"/>
        <v>1306.2</v>
      </c>
      <c r="M99" s="4">
        <f>ROUND(1185*1.05,0)</f>
        <v>1244</v>
      </c>
      <c r="N99" s="180">
        <f t="shared" si="0"/>
        <v>1036.67</v>
      </c>
      <c r="O99" s="135"/>
      <c r="P99" s="136">
        <v>879.66</v>
      </c>
      <c r="Q99" s="44">
        <v>1008</v>
      </c>
    </row>
    <row r="100" spans="1:17" ht="15.75" thickBot="1">
      <c r="A100" s="607" t="s">
        <v>57</v>
      </c>
      <c r="B100" s="608"/>
      <c r="C100" s="608"/>
      <c r="D100" s="608"/>
      <c r="E100" s="608"/>
      <c r="F100" s="608"/>
      <c r="G100" s="608"/>
      <c r="H100" s="608"/>
      <c r="I100" s="608"/>
      <c r="J100" s="608"/>
      <c r="K100" s="608"/>
      <c r="L100" s="608"/>
      <c r="M100" s="608"/>
      <c r="N100" s="609"/>
      <c r="O100" s="135"/>
      <c r="P100" s="136">
        <v>0</v>
      </c>
      <c r="Q100" s="18"/>
    </row>
    <row r="101" spans="1:17" ht="60">
      <c r="A101" s="654">
        <v>11</v>
      </c>
      <c r="B101" s="191"/>
      <c r="C101" s="153" t="s">
        <v>125</v>
      </c>
      <c r="D101" s="97" t="s">
        <v>78</v>
      </c>
      <c r="E101" s="828" t="s">
        <v>58</v>
      </c>
      <c r="F101" s="794">
        <v>40</v>
      </c>
      <c r="G101" s="333">
        <v>20.74</v>
      </c>
      <c r="H101" s="146">
        <v>1903</v>
      </c>
      <c r="I101" s="148">
        <v>10</v>
      </c>
      <c r="J101" s="212">
        <f>M101*1.3</f>
        <v>1116.7</v>
      </c>
      <c r="K101" s="213">
        <f>J101*0.95</f>
        <v>1060.865</v>
      </c>
      <c r="L101" s="173">
        <f>M101*1.05</f>
        <v>901.95</v>
      </c>
      <c r="M101" s="214">
        <f>ROUND(818*1.05,0)</f>
        <v>859</v>
      </c>
      <c r="N101" s="215">
        <f t="shared" si="0"/>
        <v>715.83</v>
      </c>
      <c r="O101" s="135"/>
      <c r="P101" s="136"/>
      <c r="Q101" s="39"/>
    </row>
    <row r="102" spans="1:17" ht="75">
      <c r="A102" s="654"/>
      <c r="B102" s="191"/>
      <c r="C102" s="153" t="s">
        <v>123</v>
      </c>
      <c r="D102" s="97" t="s">
        <v>78</v>
      </c>
      <c r="E102" s="828"/>
      <c r="F102" s="795"/>
      <c r="G102" s="333">
        <v>20.74</v>
      </c>
      <c r="H102" s="146">
        <v>1903</v>
      </c>
      <c r="I102" s="148">
        <v>10</v>
      </c>
      <c r="J102" s="216">
        <f>M102*1.3</f>
        <v>1116.7</v>
      </c>
      <c r="K102" s="217">
        <f>J102*0.95</f>
        <v>1060.865</v>
      </c>
      <c r="L102" s="3">
        <f>M102*1.05</f>
        <v>901.95</v>
      </c>
      <c r="M102" s="218">
        <f>ROUND(818*1.05,0)</f>
        <v>859</v>
      </c>
      <c r="N102" s="219">
        <f t="shared" si="0"/>
        <v>715.83</v>
      </c>
      <c r="O102" s="135"/>
      <c r="P102" s="136"/>
      <c r="Q102" s="39"/>
    </row>
    <row r="103" spans="1:17" ht="60">
      <c r="A103" s="654"/>
      <c r="B103" s="191"/>
      <c r="C103" s="153" t="s">
        <v>124</v>
      </c>
      <c r="D103" s="97" t="s">
        <v>78</v>
      </c>
      <c r="E103" s="828"/>
      <c r="F103" s="795"/>
      <c r="G103" s="333">
        <v>20.74</v>
      </c>
      <c r="H103" s="146">
        <v>1903</v>
      </c>
      <c r="I103" s="148">
        <v>10</v>
      </c>
      <c r="J103" s="216">
        <f>M103*1.3</f>
        <v>1116.7</v>
      </c>
      <c r="K103" s="217">
        <f>J103*0.95</f>
        <v>1060.865</v>
      </c>
      <c r="L103" s="3">
        <f>M103*1.05</f>
        <v>901.95</v>
      </c>
      <c r="M103" s="218">
        <f>ROUND(818*1.05,0)</f>
        <v>859</v>
      </c>
      <c r="N103" s="219">
        <f t="shared" si="0"/>
        <v>715.83</v>
      </c>
      <c r="O103" s="135"/>
      <c r="P103" s="136"/>
      <c r="Q103" s="39"/>
    </row>
    <row r="104" spans="1:17" ht="60.75" thickBot="1">
      <c r="A104" s="655"/>
      <c r="B104" s="162"/>
      <c r="C104" s="153" t="s">
        <v>68</v>
      </c>
      <c r="D104" s="97" t="s">
        <v>78</v>
      </c>
      <c r="E104" s="828"/>
      <c r="F104" s="796"/>
      <c r="G104" s="333">
        <v>20.74</v>
      </c>
      <c r="H104" s="146">
        <v>1903</v>
      </c>
      <c r="I104" s="148">
        <v>10</v>
      </c>
      <c r="J104" s="220">
        <f>M104*1.3</f>
        <v>1116.7</v>
      </c>
      <c r="K104" s="221">
        <f>J104*0.95</f>
        <v>1060.865</v>
      </c>
      <c r="L104" s="4">
        <f>M104*1.05</f>
        <v>901.95</v>
      </c>
      <c r="M104" s="222">
        <f>ROUND(818*1.05,0)</f>
        <v>859</v>
      </c>
      <c r="N104" s="223">
        <f>ROUND(M104/1.2,2)</f>
        <v>715.83</v>
      </c>
      <c r="O104" s="135"/>
      <c r="P104" s="136">
        <v>782.2</v>
      </c>
      <c r="Q104" s="42">
        <v>896</v>
      </c>
    </row>
    <row r="105" spans="1:17" ht="15.75" thickBot="1">
      <c r="A105" s="734" t="s">
        <v>121</v>
      </c>
      <c r="B105" s="735"/>
      <c r="C105" s="735"/>
      <c r="D105" s="735"/>
      <c r="E105" s="735"/>
      <c r="F105" s="735"/>
      <c r="G105" s="735"/>
      <c r="H105" s="735"/>
      <c r="I105" s="735"/>
      <c r="J105" s="735"/>
      <c r="K105" s="735"/>
      <c r="L105" s="735"/>
      <c r="M105" s="735"/>
      <c r="N105" s="829"/>
      <c r="O105" s="135"/>
      <c r="P105" s="136"/>
      <c r="Q105" s="47"/>
    </row>
    <row r="106" spans="1:17" ht="75">
      <c r="A106" s="636">
        <v>12</v>
      </c>
      <c r="B106" s="258"/>
      <c r="C106" s="151" t="s">
        <v>101</v>
      </c>
      <c r="D106" s="96"/>
      <c r="E106" s="830" t="s">
        <v>122</v>
      </c>
      <c r="F106" s="794">
        <v>60</v>
      </c>
      <c r="G106" s="359">
        <v>13.18</v>
      </c>
      <c r="H106" s="142">
        <v>1815</v>
      </c>
      <c r="I106" s="143">
        <v>11</v>
      </c>
      <c r="J106" s="212">
        <f>M106*1.3</f>
        <v>1480.7</v>
      </c>
      <c r="K106" s="213">
        <f>J106*0.95</f>
        <v>1406.665</v>
      </c>
      <c r="L106" s="214">
        <f>M106*1.05</f>
        <v>1195.95</v>
      </c>
      <c r="M106" s="213">
        <f>ROUND(1085*1.05,0)</f>
        <v>1139</v>
      </c>
      <c r="N106" s="224">
        <f>M106/1.2</f>
        <v>949.16666666666674</v>
      </c>
      <c r="O106" s="135"/>
      <c r="P106" s="136"/>
      <c r="Q106" s="47"/>
    </row>
    <row r="107" spans="1:17" ht="45.75" thickBot="1">
      <c r="A107" s="638"/>
      <c r="B107" s="259"/>
      <c r="C107" s="152" t="s">
        <v>92</v>
      </c>
      <c r="D107" s="154"/>
      <c r="E107" s="831"/>
      <c r="F107" s="796"/>
      <c r="G107" s="360">
        <v>13.18</v>
      </c>
      <c r="H107" s="144">
        <v>1815</v>
      </c>
      <c r="I107" s="145">
        <v>11</v>
      </c>
      <c r="J107" s="220">
        <f>M107*1.3</f>
        <v>1480.7</v>
      </c>
      <c r="K107" s="221">
        <f>J107*0.95</f>
        <v>1406.665</v>
      </c>
      <c r="L107" s="222">
        <f>M107*1.05</f>
        <v>1195.95</v>
      </c>
      <c r="M107" s="221">
        <f>ROUND(1085*1.05,0)</f>
        <v>1139</v>
      </c>
      <c r="N107" s="225">
        <f>M107/1.2</f>
        <v>949.16666666666674</v>
      </c>
      <c r="O107" s="135"/>
      <c r="P107" s="136"/>
      <c r="Q107" s="47"/>
    </row>
    <row r="108" spans="1:17" ht="15.75" thickBot="1">
      <c r="A108" s="607" t="s">
        <v>34</v>
      </c>
      <c r="B108" s="608"/>
      <c r="C108" s="608"/>
      <c r="D108" s="608"/>
      <c r="E108" s="608"/>
      <c r="F108" s="608"/>
      <c r="G108" s="608"/>
      <c r="H108" s="608"/>
      <c r="I108" s="608"/>
      <c r="J108" s="608"/>
      <c r="K108" s="608"/>
      <c r="L108" s="608"/>
      <c r="M108" s="608"/>
      <c r="N108" s="609"/>
      <c r="O108" s="135"/>
      <c r="P108" s="136">
        <v>0</v>
      </c>
      <c r="Q108" s="51"/>
    </row>
    <row r="109" spans="1:17" ht="18.75">
      <c r="A109" s="637">
        <v>13</v>
      </c>
      <c r="B109" s="716"/>
      <c r="C109" s="717" t="s">
        <v>6</v>
      </c>
      <c r="D109" s="346" t="s">
        <v>78</v>
      </c>
      <c r="E109" s="595" t="s">
        <v>42</v>
      </c>
      <c r="F109" s="245">
        <v>40</v>
      </c>
      <c r="G109" s="166">
        <v>19.440000000000001</v>
      </c>
      <c r="H109" s="117">
        <v>1781</v>
      </c>
      <c r="I109" s="118">
        <v>11</v>
      </c>
      <c r="J109" s="172">
        <f t="shared" ref="J109:J125" si="10">ROUND(M109+M109*R109,0)</f>
        <v>546</v>
      </c>
      <c r="K109" s="173">
        <f t="shared" ref="K109:K120" si="11">ROUND(J109-(J109*S109),0)</f>
        <v>546</v>
      </c>
      <c r="L109" s="174">
        <f>M109*1.03</f>
        <v>562.38</v>
      </c>
      <c r="M109" s="173">
        <f>ROUND(520*1.05,0)</f>
        <v>546</v>
      </c>
      <c r="N109" s="175">
        <f t="shared" si="0"/>
        <v>455</v>
      </c>
      <c r="O109" s="135"/>
      <c r="P109" s="136">
        <v>361.02</v>
      </c>
      <c r="Q109" s="16">
        <v>406</v>
      </c>
    </row>
    <row r="110" spans="1:17" ht="18.75">
      <c r="A110" s="637"/>
      <c r="B110" s="716"/>
      <c r="C110" s="717"/>
      <c r="D110" s="344" t="s">
        <v>78</v>
      </c>
      <c r="E110" s="601"/>
      <c r="F110" s="234">
        <v>60</v>
      </c>
      <c r="G110" s="167">
        <v>12.96</v>
      </c>
      <c r="H110" s="119">
        <v>1785</v>
      </c>
      <c r="I110" s="120">
        <v>11</v>
      </c>
      <c r="J110" s="176">
        <f t="shared" si="10"/>
        <v>656</v>
      </c>
      <c r="K110" s="3">
        <f t="shared" si="11"/>
        <v>656</v>
      </c>
      <c r="L110" s="31">
        <f>M110*1.03</f>
        <v>675.68000000000006</v>
      </c>
      <c r="M110" s="3">
        <f>ROUND(625*1.05,0)</f>
        <v>656</v>
      </c>
      <c r="N110" s="177">
        <f t="shared" si="0"/>
        <v>546.66999999999996</v>
      </c>
      <c r="O110" s="135"/>
      <c r="P110" s="136">
        <v>433.9</v>
      </c>
      <c r="Q110" s="16">
        <v>488</v>
      </c>
    </row>
    <row r="111" spans="1:17" ht="19.5" thickBot="1">
      <c r="A111" s="637"/>
      <c r="B111" s="716"/>
      <c r="C111" s="717"/>
      <c r="D111" s="347"/>
      <c r="E111" s="832"/>
      <c r="F111" s="246">
        <v>80</v>
      </c>
      <c r="G111" s="139">
        <v>10.8</v>
      </c>
      <c r="H111" s="121">
        <v>1982</v>
      </c>
      <c r="I111" s="122">
        <v>10</v>
      </c>
      <c r="J111" s="178">
        <f t="shared" si="10"/>
        <v>793</v>
      </c>
      <c r="K111" s="4">
        <f t="shared" si="11"/>
        <v>793</v>
      </c>
      <c r="L111" s="179">
        <f>M111*1.03</f>
        <v>816.79000000000008</v>
      </c>
      <c r="M111" s="4">
        <f>ROUND(755*1.05,0)</f>
        <v>793</v>
      </c>
      <c r="N111" s="180">
        <f t="shared" ref="N111:N120" si="12">ROUND(M111/1.2,2)</f>
        <v>660.83</v>
      </c>
      <c r="O111" s="135"/>
      <c r="P111" s="136">
        <v>523.73</v>
      </c>
      <c r="Q111" s="42">
        <v>589</v>
      </c>
    </row>
    <row r="112" spans="1:17" ht="19.5" thickBot="1">
      <c r="A112" s="637"/>
      <c r="B112" s="271"/>
      <c r="C112" s="606"/>
      <c r="D112" s="205"/>
      <c r="E112" s="233" t="s">
        <v>20</v>
      </c>
      <c r="F112" s="233">
        <v>70</v>
      </c>
      <c r="G112" s="232">
        <v>12.67</v>
      </c>
      <c r="H112" s="299">
        <v>2046</v>
      </c>
      <c r="I112" s="345">
        <v>9</v>
      </c>
      <c r="J112" s="93">
        <v>788</v>
      </c>
      <c r="K112" s="230">
        <v>764</v>
      </c>
      <c r="L112" s="94">
        <v>737.48</v>
      </c>
      <c r="M112" s="230">
        <v>716</v>
      </c>
      <c r="N112" s="95">
        <v>596.66999999999996</v>
      </c>
      <c r="O112" s="135"/>
      <c r="P112" s="136"/>
      <c r="Q112" s="42"/>
    </row>
    <row r="113" spans="1:17" ht="18.75">
      <c r="A113" s="637"/>
      <c r="B113" s="589"/>
      <c r="C113" s="591" t="s">
        <v>38</v>
      </c>
      <c r="D113" s="97" t="s">
        <v>78</v>
      </c>
      <c r="E113" s="595" t="s">
        <v>42</v>
      </c>
      <c r="F113" s="245">
        <v>40</v>
      </c>
      <c r="G113" s="166">
        <v>19.440000000000001</v>
      </c>
      <c r="H113" s="117">
        <v>1781</v>
      </c>
      <c r="I113" s="118">
        <v>11</v>
      </c>
      <c r="J113" s="172">
        <f t="shared" si="10"/>
        <v>618</v>
      </c>
      <c r="K113" s="173">
        <f t="shared" si="11"/>
        <v>618</v>
      </c>
      <c r="L113" s="174">
        <f>M113*1.04</f>
        <v>642.72</v>
      </c>
      <c r="M113" s="173">
        <f>ROUND(589*1.05,0)</f>
        <v>618</v>
      </c>
      <c r="N113" s="175">
        <f t="shared" si="12"/>
        <v>515</v>
      </c>
      <c r="O113" s="135"/>
      <c r="P113" s="136">
        <v>407.63</v>
      </c>
      <c r="Q113" s="16">
        <v>458</v>
      </c>
    </row>
    <row r="114" spans="1:17" ht="19.5" thickBot="1">
      <c r="A114" s="637"/>
      <c r="B114" s="590"/>
      <c r="C114" s="592"/>
      <c r="D114" s="261" t="s">
        <v>78</v>
      </c>
      <c r="E114" s="832"/>
      <c r="F114" s="246">
        <v>60</v>
      </c>
      <c r="G114" s="139">
        <v>12.96</v>
      </c>
      <c r="H114" s="121">
        <v>1785</v>
      </c>
      <c r="I114" s="122">
        <v>11</v>
      </c>
      <c r="J114" s="178">
        <f t="shared" si="10"/>
        <v>758</v>
      </c>
      <c r="K114" s="4">
        <f t="shared" si="11"/>
        <v>758</v>
      </c>
      <c r="L114" s="179">
        <f t="shared" ref="L114:L120" si="13">M114*1.04</f>
        <v>788.32</v>
      </c>
      <c r="M114" s="4">
        <f>ROUND(722*1.05,0)</f>
        <v>758</v>
      </c>
      <c r="N114" s="180">
        <f t="shared" si="12"/>
        <v>631.66999999999996</v>
      </c>
      <c r="O114" s="135"/>
      <c r="P114" s="136">
        <v>501.69</v>
      </c>
      <c r="Q114" s="16">
        <v>564</v>
      </c>
    </row>
    <row r="115" spans="1:17" ht="18.75">
      <c r="A115" s="637"/>
      <c r="B115" s="424"/>
      <c r="C115" s="593" t="s">
        <v>12</v>
      </c>
      <c r="D115" s="96" t="s">
        <v>78</v>
      </c>
      <c r="E115" s="595" t="s">
        <v>42</v>
      </c>
      <c r="F115" s="245">
        <v>40</v>
      </c>
      <c r="G115" s="166">
        <v>19.440000000000001</v>
      </c>
      <c r="H115" s="117">
        <v>1781</v>
      </c>
      <c r="I115" s="118">
        <v>11</v>
      </c>
      <c r="J115" s="172">
        <f t="shared" si="10"/>
        <v>618</v>
      </c>
      <c r="K115" s="173">
        <f t="shared" si="11"/>
        <v>618</v>
      </c>
      <c r="L115" s="174">
        <f t="shared" si="13"/>
        <v>642.72</v>
      </c>
      <c r="M115" s="173">
        <f>ROUND(589*1.05,0)</f>
        <v>618</v>
      </c>
      <c r="N115" s="175">
        <f t="shared" si="12"/>
        <v>515</v>
      </c>
      <c r="O115" s="135"/>
      <c r="P115" s="136">
        <v>407.63</v>
      </c>
      <c r="Q115" s="16">
        <v>458</v>
      </c>
    </row>
    <row r="116" spans="1:17" ht="19.5" thickBot="1">
      <c r="A116" s="637"/>
      <c r="B116" s="425"/>
      <c r="C116" s="594"/>
      <c r="D116" s="154" t="s">
        <v>78</v>
      </c>
      <c r="E116" s="832"/>
      <c r="F116" s="246">
        <v>60</v>
      </c>
      <c r="G116" s="139">
        <v>12.96</v>
      </c>
      <c r="H116" s="121">
        <v>1785</v>
      </c>
      <c r="I116" s="122">
        <v>11</v>
      </c>
      <c r="J116" s="178">
        <f t="shared" si="10"/>
        <v>758</v>
      </c>
      <c r="K116" s="4">
        <f t="shared" si="11"/>
        <v>758</v>
      </c>
      <c r="L116" s="179">
        <f t="shared" si="13"/>
        <v>788.32</v>
      </c>
      <c r="M116" s="4">
        <f>ROUND(722*1.05,0)</f>
        <v>758</v>
      </c>
      <c r="N116" s="180">
        <f t="shared" si="12"/>
        <v>631.66999999999996</v>
      </c>
      <c r="O116" s="135"/>
      <c r="P116" s="136">
        <v>501.69</v>
      </c>
      <c r="Q116" s="16">
        <v>564</v>
      </c>
    </row>
    <row r="117" spans="1:17" ht="18.75">
      <c r="A117" s="637"/>
      <c r="B117" s="605"/>
      <c r="C117" s="591" t="s">
        <v>13</v>
      </c>
      <c r="D117" s="190" t="s">
        <v>78</v>
      </c>
      <c r="E117" s="595" t="s">
        <v>42</v>
      </c>
      <c r="F117" s="245">
        <v>40</v>
      </c>
      <c r="G117" s="166">
        <v>19.440000000000001</v>
      </c>
      <c r="H117" s="117">
        <v>1781</v>
      </c>
      <c r="I117" s="118">
        <v>11</v>
      </c>
      <c r="J117" s="172">
        <f t="shared" si="10"/>
        <v>618</v>
      </c>
      <c r="K117" s="173">
        <f t="shared" si="11"/>
        <v>618</v>
      </c>
      <c r="L117" s="174">
        <f t="shared" si="13"/>
        <v>642.72</v>
      </c>
      <c r="M117" s="173">
        <f>ROUND(589*1.05,0)</f>
        <v>618</v>
      </c>
      <c r="N117" s="175">
        <f t="shared" si="12"/>
        <v>515</v>
      </c>
      <c r="O117" s="135"/>
      <c r="P117" s="136">
        <v>407.63</v>
      </c>
      <c r="Q117" s="16">
        <v>485</v>
      </c>
    </row>
    <row r="118" spans="1:17" ht="19.5" thickBot="1">
      <c r="A118" s="637"/>
      <c r="B118" s="606"/>
      <c r="C118" s="592"/>
      <c r="D118" s="261" t="s">
        <v>78</v>
      </c>
      <c r="E118" s="832"/>
      <c r="F118" s="246">
        <v>60</v>
      </c>
      <c r="G118" s="139">
        <v>12.96</v>
      </c>
      <c r="H118" s="121">
        <v>1785</v>
      </c>
      <c r="I118" s="122">
        <v>11</v>
      </c>
      <c r="J118" s="178">
        <f t="shared" si="10"/>
        <v>758</v>
      </c>
      <c r="K118" s="4">
        <f t="shared" si="11"/>
        <v>758</v>
      </c>
      <c r="L118" s="179">
        <f t="shared" si="13"/>
        <v>788.32</v>
      </c>
      <c r="M118" s="4">
        <f>ROUND(722*1.05,0)</f>
        <v>758</v>
      </c>
      <c r="N118" s="180">
        <f t="shared" si="12"/>
        <v>631.66999999999996</v>
      </c>
      <c r="O118" s="135"/>
      <c r="P118" s="136">
        <v>501.69</v>
      </c>
      <c r="Q118" s="16">
        <v>564</v>
      </c>
    </row>
    <row r="119" spans="1:17" ht="18.75">
      <c r="A119" s="637"/>
      <c r="B119" s="605"/>
      <c r="C119" s="681" t="s">
        <v>44</v>
      </c>
      <c r="D119" s="96" t="s">
        <v>78</v>
      </c>
      <c r="E119" s="595" t="s">
        <v>42</v>
      </c>
      <c r="F119" s="245">
        <v>40</v>
      </c>
      <c r="G119" s="166">
        <v>19.440000000000001</v>
      </c>
      <c r="H119" s="117">
        <v>1781</v>
      </c>
      <c r="I119" s="118">
        <v>11</v>
      </c>
      <c r="J119" s="172">
        <f t="shared" si="10"/>
        <v>618</v>
      </c>
      <c r="K119" s="173">
        <f t="shared" si="11"/>
        <v>618</v>
      </c>
      <c r="L119" s="174">
        <f t="shared" si="13"/>
        <v>642.72</v>
      </c>
      <c r="M119" s="173">
        <f>ROUND(589*1.05,0)</f>
        <v>618</v>
      </c>
      <c r="N119" s="175">
        <f>ROUND(M119/1.2,2)</f>
        <v>515</v>
      </c>
      <c r="O119" s="135"/>
      <c r="P119" s="136">
        <v>407.63</v>
      </c>
      <c r="Q119" s="16">
        <v>485</v>
      </c>
    </row>
    <row r="120" spans="1:17" ht="19.5" thickBot="1">
      <c r="A120" s="637"/>
      <c r="B120" s="606"/>
      <c r="C120" s="682"/>
      <c r="D120" s="154" t="s">
        <v>78</v>
      </c>
      <c r="E120" s="832"/>
      <c r="F120" s="246">
        <v>60</v>
      </c>
      <c r="G120" s="139">
        <v>12.96</v>
      </c>
      <c r="H120" s="121">
        <v>1785</v>
      </c>
      <c r="I120" s="122">
        <v>11</v>
      </c>
      <c r="J120" s="178">
        <f t="shared" si="10"/>
        <v>758</v>
      </c>
      <c r="K120" s="4">
        <f t="shared" si="11"/>
        <v>758</v>
      </c>
      <c r="L120" s="179">
        <f t="shared" si="13"/>
        <v>788.32</v>
      </c>
      <c r="M120" s="4">
        <f>ROUND(722*1.05,0)</f>
        <v>758</v>
      </c>
      <c r="N120" s="180">
        <f t="shared" si="12"/>
        <v>631.66999999999996</v>
      </c>
      <c r="O120" s="135"/>
      <c r="P120" s="136">
        <v>501.69</v>
      </c>
      <c r="Q120" s="16">
        <v>564</v>
      </c>
    </row>
    <row r="121" spans="1:17" ht="18.75">
      <c r="A121" s="637"/>
      <c r="B121" s="264"/>
      <c r="C121" s="833" t="s">
        <v>14</v>
      </c>
      <c r="D121" s="190"/>
      <c r="E121" s="595" t="s">
        <v>42</v>
      </c>
      <c r="F121" s="245">
        <v>40</v>
      </c>
      <c r="G121" s="166">
        <v>19.440000000000001</v>
      </c>
      <c r="H121" s="117">
        <v>1781</v>
      </c>
      <c r="I121" s="118">
        <v>11</v>
      </c>
      <c r="J121" s="172">
        <f>ROUND(M121+M121*R121,0)</f>
        <v>618</v>
      </c>
      <c r="K121" s="173">
        <f>ROUND(J121-(J121*S121),0)</f>
        <v>618</v>
      </c>
      <c r="L121" s="174">
        <f>M121*1.04</f>
        <v>642.72</v>
      </c>
      <c r="M121" s="173">
        <f>ROUND(589*1.05,0)</f>
        <v>618</v>
      </c>
      <c r="N121" s="175">
        <f>ROUND(M121/1.2,2)</f>
        <v>515</v>
      </c>
      <c r="O121" s="135"/>
      <c r="P121" s="136">
        <v>676.27</v>
      </c>
      <c r="Q121" s="42">
        <v>760</v>
      </c>
    </row>
    <row r="122" spans="1:17" ht="19.5" thickBot="1">
      <c r="A122" s="637"/>
      <c r="B122" s="275"/>
      <c r="C122" s="834"/>
      <c r="D122" s="154"/>
      <c r="E122" s="832"/>
      <c r="F122" s="246">
        <v>60</v>
      </c>
      <c r="G122" s="139">
        <v>12.96</v>
      </c>
      <c r="H122" s="121">
        <v>1785</v>
      </c>
      <c r="I122" s="122">
        <v>11</v>
      </c>
      <c r="J122" s="178">
        <f>ROUND(M122+M122*R122,0)</f>
        <v>758</v>
      </c>
      <c r="K122" s="4">
        <f>ROUND(J122-(J122*S122),0)</f>
        <v>758</v>
      </c>
      <c r="L122" s="179">
        <f>M122*1.04</f>
        <v>788.32</v>
      </c>
      <c r="M122" s="4">
        <f>ROUND(722*1.05,0)</f>
        <v>758</v>
      </c>
      <c r="N122" s="180">
        <f>ROUND(M122/1.2,2)</f>
        <v>631.66999999999996</v>
      </c>
      <c r="O122" s="135"/>
      <c r="P122" s="136">
        <v>676.27</v>
      </c>
      <c r="Q122" s="42">
        <v>760</v>
      </c>
    </row>
    <row r="123" spans="1:17" ht="75">
      <c r="A123" s="637"/>
      <c r="B123" s="270"/>
      <c r="C123" s="272" t="s">
        <v>101</v>
      </c>
      <c r="D123" s="190" t="s">
        <v>78</v>
      </c>
      <c r="E123" s="245" t="s">
        <v>42</v>
      </c>
      <c r="F123" s="361">
        <v>40</v>
      </c>
      <c r="G123" s="166">
        <v>19.440000000000001</v>
      </c>
      <c r="H123" s="117">
        <v>1781</v>
      </c>
      <c r="I123" s="118">
        <v>11</v>
      </c>
      <c r="J123" s="172">
        <f t="shared" si="10"/>
        <v>859</v>
      </c>
      <c r="K123" s="173">
        <f>J123*0.95</f>
        <v>816.05</v>
      </c>
      <c r="L123" s="174">
        <f>M123*1.05</f>
        <v>901.95</v>
      </c>
      <c r="M123" s="173">
        <f>ROUND(818*1.05,0)</f>
        <v>859</v>
      </c>
      <c r="N123" s="175">
        <f t="shared" ref="N123:N140" si="14">ROUND(M123/1.2,2)</f>
        <v>715.83</v>
      </c>
      <c r="O123" s="135"/>
      <c r="P123" s="136">
        <v>606.78</v>
      </c>
      <c r="Q123" s="16">
        <v>695</v>
      </c>
    </row>
    <row r="124" spans="1:17" ht="60.75" thickBot="1">
      <c r="A124" s="637"/>
      <c r="B124" s="271"/>
      <c r="C124" s="273" t="s">
        <v>86</v>
      </c>
      <c r="D124" s="106"/>
      <c r="E124" s="246" t="s">
        <v>42</v>
      </c>
      <c r="F124" s="362">
        <v>60</v>
      </c>
      <c r="G124" s="139">
        <v>12.96</v>
      </c>
      <c r="H124" s="121">
        <v>1785</v>
      </c>
      <c r="I124" s="122">
        <v>11</v>
      </c>
      <c r="J124" s="178">
        <f t="shared" si="10"/>
        <v>1107</v>
      </c>
      <c r="K124" s="4">
        <f>J124*0.95</f>
        <v>1051.6499999999999</v>
      </c>
      <c r="L124" s="179">
        <f>M124*1.05</f>
        <v>1162.3500000000001</v>
      </c>
      <c r="M124" s="4">
        <f>ROUND(1054*1.05,0)</f>
        <v>1107</v>
      </c>
      <c r="N124" s="180">
        <f t="shared" si="14"/>
        <v>922.5</v>
      </c>
      <c r="O124" s="135"/>
      <c r="P124" s="136">
        <v>782.2</v>
      </c>
      <c r="Q124" s="16">
        <v>896</v>
      </c>
    </row>
    <row r="125" spans="1:17" ht="45">
      <c r="A125" s="637"/>
      <c r="B125" s="270"/>
      <c r="C125" s="266" t="s">
        <v>92</v>
      </c>
      <c r="D125" s="97" t="s">
        <v>78</v>
      </c>
      <c r="E125" s="245" t="s">
        <v>42</v>
      </c>
      <c r="F125" s="361">
        <v>40</v>
      </c>
      <c r="G125" s="166">
        <v>19.440000000000001</v>
      </c>
      <c r="H125" s="117">
        <v>1781</v>
      </c>
      <c r="I125" s="118">
        <v>11</v>
      </c>
      <c r="J125" s="172">
        <f t="shared" si="10"/>
        <v>859</v>
      </c>
      <c r="K125" s="173">
        <f>J125*0.95</f>
        <v>816.05</v>
      </c>
      <c r="L125" s="174">
        <f>M125*1.05</f>
        <v>901.95</v>
      </c>
      <c r="M125" s="173">
        <f>ROUND(818*1.05,0)</f>
        <v>859</v>
      </c>
      <c r="N125" s="175">
        <f t="shared" si="14"/>
        <v>715.83</v>
      </c>
      <c r="O125" s="135"/>
      <c r="P125" s="136">
        <v>606.78</v>
      </c>
      <c r="Q125" s="16">
        <v>695</v>
      </c>
    </row>
    <row r="126" spans="1:17" ht="45.75" thickBot="1">
      <c r="A126" s="637"/>
      <c r="B126" s="271"/>
      <c r="C126" s="263" t="s">
        <v>93</v>
      </c>
      <c r="D126" s="106"/>
      <c r="E126" s="246" t="s">
        <v>42</v>
      </c>
      <c r="F126" s="362">
        <v>60</v>
      </c>
      <c r="G126" s="139">
        <v>12.96</v>
      </c>
      <c r="H126" s="121">
        <v>1785</v>
      </c>
      <c r="I126" s="122">
        <v>11</v>
      </c>
      <c r="J126" s="178">
        <f>ROUND(M126+M126*R126,0)</f>
        <v>1107</v>
      </c>
      <c r="K126" s="4">
        <f>J126*0.95</f>
        <v>1051.6499999999999</v>
      </c>
      <c r="L126" s="179">
        <f>M126*1.05</f>
        <v>1162.3500000000001</v>
      </c>
      <c r="M126" s="4">
        <f>ROUND(1054*1.05,0)</f>
        <v>1107</v>
      </c>
      <c r="N126" s="180">
        <f>ROUND(M126/1.2,2)</f>
        <v>922.5</v>
      </c>
      <c r="O126" s="135"/>
      <c r="P126" s="136"/>
      <c r="Q126" s="262"/>
    </row>
    <row r="127" spans="1:17" ht="15.75" thickBot="1">
      <c r="A127" s="607" t="s">
        <v>43</v>
      </c>
      <c r="B127" s="608"/>
      <c r="C127" s="608"/>
      <c r="D127" s="608"/>
      <c r="E127" s="608"/>
      <c r="F127" s="608"/>
      <c r="G127" s="608"/>
      <c r="H127" s="608"/>
      <c r="I127" s="608"/>
      <c r="J127" s="608"/>
      <c r="K127" s="608"/>
      <c r="L127" s="608"/>
      <c r="M127" s="608"/>
      <c r="N127" s="609"/>
      <c r="O127" s="135"/>
      <c r="P127" s="136">
        <v>0</v>
      </c>
      <c r="Q127" s="53"/>
    </row>
    <row r="128" spans="1:17" ht="19.5" thickBot="1">
      <c r="A128" s="653">
        <v>14</v>
      </c>
      <c r="B128" s="598"/>
      <c r="C128" s="602" t="s">
        <v>6</v>
      </c>
      <c r="D128" s="96"/>
      <c r="E128" s="247" t="s">
        <v>39</v>
      </c>
      <c r="F128" s="835">
        <v>60</v>
      </c>
      <c r="G128" s="256">
        <v>11.88</v>
      </c>
      <c r="H128" s="237">
        <v>1590</v>
      </c>
      <c r="I128" s="248">
        <v>12</v>
      </c>
      <c r="J128" s="172">
        <f t="shared" ref="J128:J140" si="15">ROUND(M128+M128*R128,0)</f>
        <v>656</v>
      </c>
      <c r="K128" s="173">
        <f t="shared" ref="K128:K136" si="16">ROUND(J128-(J128*S128),0)</f>
        <v>656</v>
      </c>
      <c r="L128" s="174">
        <f>M128*1.03</f>
        <v>675.68000000000006</v>
      </c>
      <c r="M128" s="173">
        <f>ROUND(625*1.05,0)</f>
        <v>656</v>
      </c>
      <c r="N128" s="215">
        <f t="shared" si="14"/>
        <v>546.66999999999996</v>
      </c>
      <c r="O128" s="135"/>
      <c r="P128" s="136">
        <v>433.9</v>
      </c>
      <c r="Q128" s="54">
        <v>488</v>
      </c>
    </row>
    <row r="129" spans="1:17" ht="18.75">
      <c r="A129" s="655"/>
      <c r="B129" s="599"/>
      <c r="C129" s="603"/>
      <c r="D129" s="99" t="s">
        <v>78</v>
      </c>
      <c r="E129" s="123" t="s">
        <v>37</v>
      </c>
      <c r="F129" s="836"/>
      <c r="G129" s="249">
        <v>14.4</v>
      </c>
      <c r="H129" s="238">
        <v>1988</v>
      </c>
      <c r="I129" s="240">
        <v>10</v>
      </c>
      <c r="J129" s="176">
        <f t="shared" si="15"/>
        <v>656</v>
      </c>
      <c r="K129" s="3">
        <f t="shared" si="16"/>
        <v>656</v>
      </c>
      <c r="L129" s="31">
        <f>M129*1.03</f>
        <v>675.68000000000006</v>
      </c>
      <c r="M129" s="3">
        <f>ROUND(625*1.05,0)</f>
        <v>656</v>
      </c>
      <c r="N129" s="219">
        <f>ROUND(M129/1.2,2)</f>
        <v>546.66999999999996</v>
      </c>
      <c r="O129" s="135"/>
      <c r="P129" s="136">
        <v>433.9</v>
      </c>
      <c r="Q129" s="43">
        <v>488</v>
      </c>
    </row>
    <row r="130" spans="1:17" ht="19.5" thickBot="1">
      <c r="A130" s="637"/>
      <c r="B130" s="689"/>
      <c r="C130" s="604"/>
      <c r="D130" s="261"/>
      <c r="E130" s="277" t="s">
        <v>59</v>
      </c>
      <c r="F130" s="836"/>
      <c r="G130" s="328">
        <v>11.52</v>
      </c>
      <c r="H130" s="161">
        <v>1641</v>
      </c>
      <c r="I130" s="278">
        <v>12</v>
      </c>
      <c r="J130" s="279">
        <f t="shared" si="15"/>
        <v>656</v>
      </c>
      <c r="K130" s="181">
        <f t="shared" si="16"/>
        <v>656</v>
      </c>
      <c r="L130" s="34">
        <f>M130*1.03</f>
        <v>675.68000000000006</v>
      </c>
      <c r="M130" s="181">
        <f>ROUND(625*1.05,0)</f>
        <v>656</v>
      </c>
      <c r="N130" s="280">
        <f>ROUND(M130/1.2,2)</f>
        <v>546.66999999999996</v>
      </c>
      <c r="O130" s="135"/>
      <c r="P130" s="136">
        <v>433.9</v>
      </c>
      <c r="Q130" s="44">
        <v>488</v>
      </c>
    </row>
    <row r="131" spans="1:17" ht="18.75">
      <c r="A131" s="655"/>
      <c r="B131" s="616"/>
      <c r="C131" s="618" t="s">
        <v>38</v>
      </c>
      <c r="D131" s="101"/>
      <c r="E131" s="247" t="s">
        <v>39</v>
      </c>
      <c r="F131" s="836"/>
      <c r="G131" s="256">
        <v>11.88</v>
      </c>
      <c r="H131" s="237">
        <v>1590</v>
      </c>
      <c r="I131" s="248">
        <v>12</v>
      </c>
      <c r="J131" s="172">
        <f t="shared" si="15"/>
        <v>758</v>
      </c>
      <c r="K131" s="173">
        <f t="shared" si="16"/>
        <v>758</v>
      </c>
      <c r="L131" s="174">
        <f t="shared" ref="L131:L136" si="17">M131*1.04</f>
        <v>788.32</v>
      </c>
      <c r="M131" s="173">
        <f t="shared" ref="M131:M136" si="18">ROUND(722*1.05,0)</f>
        <v>758</v>
      </c>
      <c r="N131" s="215">
        <f t="shared" si="14"/>
        <v>631.66999999999996</v>
      </c>
      <c r="O131" s="135"/>
      <c r="P131" s="136">
        <v>501.69</v>
      </c>
      <c r="Q131" s="45">
        <v>564</v>
      </c>
    </row>
    <row r="132" spans="1:17" ht="19.5" thickBot="1">
      <c r="A132" s="655"/>
      <c r="B132" s="617"/>
      <c r="C132" s="619"/>
      <c r="D132" s="106" t="s">
        <v>78</v>
      </c>
      <c r="E132" s="91" t="s">
        <v>37</v>
      </c>
      <c r="F132" s="836"/>
      <c r="G132" s="257">
        <v>14.4</v>
      </c>
      <c r="H132" s="239">
        <v>1988</v>
      </c>
      <c r="I132" s="251">
        <v>10</v>
      </c>
      <c r="J132" s="178">
        <f t="shared" si="15"/>
        <v>758</v>
      </c>
      <c r="K132" s="4">
        <f t="shared" si="16"/>
        <v>758</v>
      </c>
      <c r="L132" s="179">
        <f t="shared" si="17"/>
        <v>788.32</v>
      </c>
      <c r="M132" s="4">
        <f t="shared" si="18"/>
        <v>758</v>
      </c>
      <c r="N132" s="223">
        <f t="shared" si="14"/>
        <v>631.66999999999996</v>
      </c>
      <c r="O132" s="135"/>
      <c r="P132" s="136">
        <v>501.69</v>
      </c>
      <c r="Q132" s="45">
        <v>564</v>
      </c>
    </row>
    <row r="133" spans="1:17" ht="18.75">
      <c r="A133" s="655"/>
      <c r="B133" s="672"/>
      <c r="C133" s="602" t="s">
        <v>44</v>
      </c>
      <c r="D133" s="96"/>
      <c r="E133" s="247" t="s">
        <v>39</v>
      </c>
      <c r="F133" s="836"/>
      <c r="G133" s="256">
        <v>11.88</v>
      </c>
      <c r="H133" s="237">
        <v>1590</v>
      </c>
      <c r="I133" s="248">
        <v>12</v>
      </c>
      <c r="J133" s="172">
        <f t="shared" si="15"/>
        <v>758</v>
      </c>
      <c r="K133" s="173">
        <f t="shared" si="16"/>
        <v>758</v>
      </c>
      <c r="L133" s="174">
        <f t="shared" si="17"/>
        <v>788.32</v>
      </c>
      <c r="M133" s="173">
        <f t="shared" si="18"/>
        <v>758</v>
      </c>
      <c r="N133" s="215">
        <f t="shared" si="14"/>
        <v>631.66999999999996</v>
      </c>
      <c r="O133" s="135"/>
      <c r="P133" s="136">
        <v>501.69</v>
      </c>
      <c r="Q133" s="45">
        <v>564</v>
      </c>
    </row>
    <row r="134" spans="1:17" ht="19.5" thickBot="1">
      <c r="A134" s="655"/>
      <c r="B134" s="673"/>
      <c r="C134" s="604"/>
      <c r="D134" s="106" t="s">
        <v>78</v>
      </c>
      <c r="E134" s="91" t="s">
        <v>37</v>
      </c>
      <c r="F134" s="836"/>
      <c r="G134" s="257">
        <v>14.4</v>
      </c>
      <c r="H134" s="239">
        <v>1988</v>
      </c>
      <c r="I134" s="251">
        <v>10</v>
      </c>
      <c r="J134" s="178">
        <f t="shared" si="15"/>
        <v>758</v>
      </c>
      <c r="K134" s="4">
        <f t="shared" si="16"/>
        <v>758</v>
      </c>
      <c r="L134" s="179">
        <f t="shared" si="17"/>
        <v>788.32</v>
      </c>
      <c r="M134" s="4">
        <f t="shared" si="18"/>
        <v>758</v>
      </c>
      <c r="N134" s="223">
        <f t="shared" si="14"/>
        <v>631.66999999999996</v>
      </c>
      <c r="O134" s="135"/>
      <c r="P134" s="136">
        <v>501.69</v>
      </c>
      <c r="Q134" s="45">
        <v>564</v>
      </c>
    </row>
    <row r="135" spans="1:17" ht="18.75">
      <c r="A135" s="637"/>
      <c r="B135" s="364"/>
      <c r="C135" s="602" t="s">
        <v>14</v>
      </c>
      <c r="D135" s="96"/>
      <c r="E135" s="247" t="s">
        <v>39</v>
      </c>
      <c r="F135" s="836"/>
      <c r="G135" s="256">
        <v>11.88</v>
      </c>
      <c r="H135" s="237">
        <v>1590</v>
      </c>
      <c r="I135" s="248">
        <v>12</v>
      </c>
      <c r="J135" s="172">
        <f t="shared" si="15"/>
        <v>758</v>
      </c>
      <c r="K135" s="173">
        <f t="shared" si="16"/>
        <v>758</v>
      </c>
      <c r="L135" s="174">
        <f t="shared" si="17"/>
        <v>788.32</v>
      </c>
      <c r="M135" s="173">
        <f t="shared" si="18"/>
        <v>758</v>
      </c>
      <c r="N135" s="215">
        <f t="shared" si="14"/>
        <v>631.66999999999996</v>
      </c>
      <c r="O135" s="135"/>
      <c r="P135" s="136">
        <v>501.69</v>
      </c>
      <c r="Q135" s="44">
        <v>564</v>
      </c>
    </row>
    <row r="136" spans="1:17" ht="19.5" thickBot="1">
      <c r="A136" s="655"/>
      <c r="B136" s="255"/>
      <c r="C136" s="604"/>
      <c r="D136" s="154"/>
      <c r="E136" s="91" t="s">
        <v>37</v>
      </c>
      <c r="F136" s="836"/>
      <c r="G136" s="257">
        <v>14.4</v>
      </c>
      <c r="H136" s="239">
        <v>1988</v>
      </c>
      <c r="I136" s="251">
        <v>10</v>
      </c>
      <c r="J136" s="178">
        <f t="shared" si="15"/>
        <v>758</v>
      </c>
      <c r="K136" s="4">
        <f t="shared" si="16"/>
        <v>758</v>
      </c>
      <c r="L136" s="179">
        <f t="shared" si="17"/>
        <v>788.32</v>
      </c>
      <c r="M136" s="4">
        <f t="shared" si="18"/>
        <v>758</v>
      </c>
      <c r="N136" s="223">
        <f t="shared" si="14"/>
        <v>631.66999999999996</v>
      </c>
      <c r="O136" s="135"/>
      <c r="P136" s="136">
        <v>501.69</v>
      </c>
      <c r="Q136" s="44">
        <v>564</v>
      </c>
    </row>
    <row r="137" spans="1:17" ht="19.5" thickBot="1">
      <c r="A137" s="637"/>
      <c r="B137" s="124"/>
      <c r="C137" s="341" t="s">
        <v>12</v>
      </c>
      <c r="D137" s="281"/>
      <c r="E137" s="250" t="s">
        <v>39</v>
      </c>
      <c r="F137" s="836"/>
      <c r="G137" s="231">
        <v>11.88</v>
      </c>
      <c r="H137" s="298">
        <v>1590</v>
      </c>
      <c r="I137" s="282">
        <v>12</v>
      </c>
      <c r="J137" s="265">
        <f>ROUND(M137+M137*R137,0)</f>
        <v>758</v>
      </c>
      <c r="K137" s="229">
        <f>ROUND(J137-(J137*S137),0)</f>
        <v>758</v>
      </c>
      <c r="L137" s="141">
        <f>M137*1.04</f>
        <v>788.32</v>
      </c>
      <c r="M137" s="229">
        <f>ROUND(722*1.05,0)</f>
        <v>758</v>
      </c>
      <c r="N137" s="283">
        <f>ROUND(M137/1.2,2)</f>
        <v>631.66999999999996</v>
      </c>
      <c r="O137" s="135"/>
      <c r="P137" s="136"/>
      <c r="Q137" s="44">
        <v>564</v>
      </c>
    </row>
    <row r="138" spans="1:17" ht="30.75" thickBot="1">
      <c r="A138" s="637"/>
      <c r="B138" s="297"/>
      <c r="C138" s="343" t="s">
        <v>142</v>
      </c>
      <c r="D138" s="37"/>
      <c r="E138" s="81" t="s">
        <v>37</v>
      </c>
      <c r="F138" s="836"/>
      <c r="G138" s="130">
        <v>14.4</v>
      </c>
      <c r="H138" s="111">
        <v>1988</v>
      </c>
      <c r="I138" s="112">
        <v>10</v>
      </c>
      <c r="J138" s="85">
        <f t="shared" si="15"/>
        <v>1347</v>
      </c>
      <c r="K138" s="86">
        <f>J138*0.95</f>
        <v>1279.6499999999999</v>
      </c>
      <c r="L138" s="74">
        <f>M138*1.05</f>
        <v>1414.3500000000001</v>
      </c>
      <c r="M138" s="86">
        <f>ROUND(1283*1.05,0)</f>
        <v>1347</v>
      </c>
      <c r="N138" s="137">
        <f t="shared" si="14"/>
        <v>1122.5</v>
      </c>
      <c r="O138" s="135"/>
      <c r="P138" s="136">
        <v>890.68</v>
      </c>
      <c r="Q138" s="44">
        <v>1001</v>
      </c>
    </row>
    <row r="139" spans="1:17" ht="30.75" thickBot="1">
      <c r="A139" s="637"/>
      <c r="B139" s="365"/>
      <c r="C139" s="312" t="s">
        <v>143</v>
      </c>
      <c r="D139" s="37"/>
      <c r="E139" s="81" t="s">
        <v>37</v>
      </c>
      <c r="F139" s="836"/>
      <c r="G139" s="130">
        <v>14.4</v>
      </c>
      <c r="H139" s="111">
        <v>1988</v>
      </c>
      <c r="I139" s="112">
        <v>10</v>
      </c>
      <c r="J139" s="85">
        <f t="shared" si="15"/>
        <v>1347</v>
      </c>
      <c r="K139" s="86">
        <f>J139*0.95</f>
        <v>1279.6499999999999</v>
      </c>
      <c r="L139" s="74">
        <f>M139*1.05</f>
        <v>1414.3500000000001</v>
      </c>
      <c r="M139" s="86">
        <f>ROUND(1283*1.05,0)</f>
        <v>1347</v>
      </c>
      <c r="N139" s="137">
        <f t="shared" si="14"/>
        <v>1122.5</v>
      </c>
      <c r="O139" s="135"/>
      <c r="P139" s="136">
        <v>890.68</v>
      </c>
      <c r="Q139" s="44">
        <v>1001</v>
      </c>
    </row>
    <row r="140" spans="1:17" ht="30.75" thickBot="1">
      <c r="A140" s="638"/>
      <c r="B140" s="92"/>
      <c r="C140" s="236" t="s">
        <v>104</v>
      </c>
      <c r="D140" s="37"/>
      <c r="E140" s="81" t="s">
        <v>37</v>
      </c>
      <c r="F140" s="837"/>
      <c r="G140" s="130">
        <v>14.4</v>
      </c>
      <c r="H140" s="111">
        <v>1988</v>
      </c>
      <c r="I140" s="112">
        <v>10</v>
      </c>
      <c r="J140" s="85">
        <f t="shared" si="15"/>
        <v>1347</v>
      </c>
      <c r="K140" s="86">
        <f>J140*0.95</f>
        <v>1279.6499999999999</v>
      </c>
      <c r="L140" s="74">
        <f>M140*1.05</f>
        <v>1414.3500000000001</v>
      </c>
      <c r="M140" s="86">
        <f>ROUND(1283*1.05,0)</f>
        <v>1347</v>
      </c>
      <c r="N140" s="137">
        <f t="shared" si="14"/>
        <v>1122.5</v>
      </c>
      <c r="O140" s="135"/>
      <c r="P140" s="136">
        <v>890.68</v>
      </c>
      <c r="Q140" s="48">
        <v>1001</v>
      </c>
    </row>
    <row r="141" spans="1:17" ht="15.75" thickBot="1">
      <c r="A141" s="657" t="s">
        <v>35</v>
      </c>
      <c r="B141" s="658"/>
      <c r="C141" s="658"/>
      <c r="D141" s="658"/>
      <c r="E141" s="658"/>
      <c r="F141" s="658"/>
      <c r="G141" s="658"/>
      <c r="H141" s="658"/>
      <c r="I141" s="658"/>
      <c r="J141" s="658"/>
      <c r="K141" s="658"/>
      <c r="L141" s="658"/>
      <c r="M141" s="658"/>
      <c r="N141" s="659"/>
      <c r="O141" s="135"/>
      <c r="P141" s="136">
        <v>0</v>
      </c>
      <c r="Q141" s="63"/>
    </row>
    <row r="142" spans="1:17" ht="19.5" thickBot="1">
      <c r="A142" s="150">
        <v>15</v>
      </c>
      <c r="B142" s="427"/>
      <c r="C142" s="128" t="s">
        <v>6</v>
      </c>
      <c r="D142" s="83" t="s">
        <v>79</v>
      </c>
      <c r="E142" s="159" t="s">
        <v>18</v>
      </c>
      <c r="F142" s="322">
        <v>100</v>
      </c>
      <c r="G142" s="130">
        <v>10.8</v>
      </c>
      <c r="H142" s="111">
        <v>1552</v>
      </c>
      <c r="I142" s="131">
        <v>12</v>
      </c>
      <c r="J142" s="85">
        <f>ROUND(M142+M142*R142,0)</f>
        <v>758</v>
      </c>
      <c r="K142" s="86">
        <f>J142*0.97</f>
        <v>735.26</v>
      </c>
      <c r="L142" s="74">
        <f>M142*1.03</f>
        <v>780.74</v>
      </c>
      <c r="M142" s="86">
        <f>ROUND(722*1.05,0)</f>
        <v>758</v>
      </c>
      <c r="N142" s="137">
        <f>ROUND(M142/1.2,2)</f>
        <v>631.66999999999996</v>
      </c>
      <c r="O142" s="135"/>
      <c r="P142" s="136">
        <v>501.69</v>
      </c>
      <c r="Q142" s="12">
        <v>564</v>
      </c>
    </row>
    <row r="143" spans="1:17" ht="19.5" thickBot="1">
      <c r="A143" s="293"/>
      <c r="B143" s="253"/>
      <c r="C143" s="284"/>
      <c r="D143" s="285"/>
      <c r="E143" s="286"/>
      <c r="F143" s="287"/>
      <c r="G143" s="253"/>
      <c r="H143" s="253"/>
      <c r="I143" s="253"/>
      <c r="J143" s="288"/>
      <c r="K143" s="288"/>
      <c r="L143" s="288"/>
      <c r="M143" s="288"/>
      <c r="N143" s="289"/>
      <c r="O143" s="290"/>
      <c r="P143" s="291"/>
      <c r="Q143" s="292"/>
    </row>
    <row r="144" spans="1:17" ht="16.5" thickBot="1">
      <c r="A144" s="630" t="s">
        <v>1</v>
      </c>
      <c r="B144" s="631"/>
      <c r="C144" s="631"/>
      <c r="D144" s="631"/>
      <c r="E144" s="631"/>
      <c r="F144" s="631"/>
      <c r="G144" s="631"/>
      <c r="H144" s="631"/>
      <c r="I144" s="631"/>
      <c r="J144" s="631"/>
      <c r="K144" s="631"/>
      <c r="L144" s="631"/>
      <c r="M144" s="631"/>
      <c r="N144" s="632"/>
      <c r="O144" s="135"/>
      <c r="P144" s="136">
        <v>0</v>
      </c>
      <c r="Q144" s="55"/>
    </row>
    <row r="145" spans="1:17" ht="123" thickBot="1">
      <c r="A145" s="76" t="s">
        <v>0</v>
      </c>
      <c r="B145" s="639" t="s">
        <v>5</v>
      </c>
      <c r="C145" s="640"/>
      <c r="D145" s="641"/>
      <c r="E145" s="77" t="s">
        <v>7</v>
      </c>
      <c r="F145" s="77" t="s">
        <v>16</v>
      </c>
      <c r="G145" s="77" t="s">
        <v>134</v>
      </c>
      <c r="H145" s="78" t="s">
        <v>8</v>
      </c>
      <c r="I145" s="77" t="s">
        <v>25</v>
      </c>
      <c r="J145" s="79" t="s">
        <v>33</v>
      </c>
      <c r="K145" s="77" t="s">
        <v>56</v>
      </c>
      <c r="L145" s="78" t="s">
        <v>82</v>
      </c>
      <c r="M145" s="77" t="s">
        <v>53</v>
      </c>
      <c r="N145" s="80" t="s">
        <v>54</v>
      </c>
      <c r="O145" s="75">
        <v>1.05</v>
      </c>
      <c r="P145" s="77" t="s">
        <v>119</v>
      </c>
      <c r="Q145" s="77" t="s">
        <v>120</v>
      </c>
    </row>
    <row r="146" spans="1:17" ht="15.75" thickBot="1">
      <c r="A146" s="607" t="s">
        <v>30</v>
      </c>
      <c r="B146" s="608"/>
      <c r="C146" s="608"/>
      <c r="D146" s="608"/>
      <c r="E146" s="608"/>
      <c r="F146" s="608"/>
      <c r="G146" s="608"/>
      <c r="H146" s="608"/>
      <c r="I146" s="608"/>
      <c r="J146" s="608"/>
      <c r="K146" s="608"/>
      <c r="L146" s="608"/>
      <c r="M146" s="608"/>
      <c r="N146" s="609"/>
      <c r="O146" s="135"/>
      <c r="P146" s="136">
        <v>0</v>
      </c>
      <c r="Q146" s="57"/>
    </row>
    <row r="147" spans="1:17" ht="19.5" thickBot="1">
      <c r="A147" s="150">
        <v>1</v>
      </c>
      <c r="B147" s="286"/>
      <c r="C147" s="312" t="s">
        <v>6</v>
      </c>
      <c r="D147" s="83" t="s">
        <v>79</v>
      </c>
      <c r="E147" s="322" t="s">
        <v>45</v>
      </c>
      <c r="F147" s="130">
        <v>300</v>
      </c>
      <c r="G147" s="111">
        <v>18</v>
      </c>
      <c r="H147" s="111">
        <v>1818</v>
      </c>
      <c r="I147" s="112">
        <v>11</v>
      </c>
      <c r="J147" s="85">
        <f>ROUND(M147+M147*R147,0)</f>
        <v>389</v>
      </c>
      <c r="K147" s="86">
        <f>ROUND(J147-(J147*S147),0)</f>
        <v>389</v>
      </c>
      <c r="L147" s="74">
        <f>M147*1.03</f>
        <v>400.67</v>
      </c>
      <c r="M147" s="86">
        <f>ROUND(370*1.05,0)</f>
        <v>389</v>
      </c>
      <c r="N147" s="137">
        <f>ROUND(M147/1.2,2)</f>
        <v>324.17</v>
      </c>
      <c r="O147" s="135"/>
      <c r="P147" s="136">
        <v>255.93</v>
      </c>
      <c r="Q147" s="38">
        <v>288</v>
      </c>
    </row>
    <row r="148" spans="1:17" ht="15.75" thickBot="1">
      <c r="A148" s="607" t="s">
        <v>29</v>
      </c>
      <c r="B148" s="608"/>
      <c r="C148" s="608"/>
      <c r="D148" s="608"/>
      <c r="E148" s="608"/>
      <c r="F148" s="608"/>
      <c r="G148" s="608"/>
      <c r="H148" s="608"/>
      <c r="I148" s="608"/>
      <c r="J148" s="608"/>
      <c r="K148" s="608"/>
      <c r="L148" s="608"/>
      <c r="M148" s="608"/>
      <c r="N148" s="609"/>
      <c r="O148" s="135"/>
      <c r="P148" s="136">
        <v>0</v>
      </c>
      <c r="Q148" s="58"/>
    </row>
    <row r="149" spans="1:17" ht="19.5" thickBot="1">
      <c r="A149" s="653">
        <v>2</v>
      </c>
      <c r="B149" s="432"/>
      <c r="C149" s="312" t="s">
        <v>6</v>
      </c>
      <c r="D149" s="83" t="s">
        <v>79</v>
      </c>
      <c r="E149" s="610" t="s">
        <v>46</v>
      </c>
      <c r="F149" s="610">
        <v>200</v>
      </c>
      <c r="G149" s="839">
        <v>48</v>
      </c>
      <c r="H149" s="843">
        <v>1759</v>
      </c>
      <c r="I149" s="851">
        <v>11</v>
      </c>
      <c r="J149" s="85">
        <f>ROUND(M149+M149*R149,0)</f>
        <v>168</v>
      </c>
      <c r="K149" s="86">
        <f>ROUND(J149-(J149*S149),0)</f>
        <v>168</v>
      </c>
      <c r="L149" s="74">
        <f>M149*1.03</f>
        <v>173.04</v>
      </c>
      <c r="M149" s="86">
        <f>ROUND(160*1.05,0)</f>
        <v>168</v>
      </c>
      <c r="N149" s="137">
        <f t="shared" ref="N149:N165" si="19">ROUND(M149/1.2,2)</f>
        <v>140</v>
      </c>
      <c r="O149" s="135"/>
      <c r="P149" s="136">
        <v>111.02</v>
      </c>
      <c r="Q149" s="59">
        <v>125</v>
      </c>
    </row>
    <row r="150" spans="1:17" ht="18.75">
      <c r="A150" s="654"/>
      <c r="B150" s="433"/>
      <c r="C150" s="206" t="s">
        <v>14</v>
      </c>
      <c r="D150" s="193" t="s">
        <v>79</v>
      </c>
      <c r="E150" s="838"/>
      <c r="F150" s="838"/>
      <c r="G150" s="840"/>
      <c r="H150" s="844"/>
      <c r="I150" s="852"/>
      <c r="J150" s="172">
        <f>M150*1.3</f>
        <v>265.2</v>
      </c>
      <c r="K150" s="173">
        <f>J150*0.95</f>
        <v>251.93999999999997</v>
      </c>
      <c r="L150" s="174">
        <f>M150*1.05</f>
        <v>214.20000000000002</v>
      </c>
      <c r="M150" s="173">
        <f>ROUND(194*1.05,0)</f>
        <v>204</v>
      </c>
      <c r="N150" s="175">
        <f>ROUND(M150/1.2,2)</f>
        <v>170</v>
      </c>
      <c r="O150" s="135"/>
      <c r="P150" s="136">
        <v>134.75</v>
      </c>
      <c r="Q150" s="61">
        <v>151</v>
      </c>
    </row>
    <row r="151" spans="1:17" ht="18.75">
      <c r="A151" s="655"/>
      <c r="B151" s="434"/>
      <c r="C151" s="204" t="s">
        <v>13</v>
      </c>
      <c r="D151" s="97"/>
      <c r="E151" s="596"/>
      <c r="F151" s="596"/>
      <c r="G151" s="841"/>
      <c r="H151" s="845"/>
      <c r="I151" s="853"/>
      <c r="J151" s="176">
        <f>M151*1.3</f>
        <v>265.2</v>
      </c>
      <c r="K151" s="3">
        <f>J151*0.95</f>
        <v>251.93999999999997</v>
      </c>
      <c r="L151" s="31">
        <f>M151*1.05</f>
        <v>214.20000000000002</v>
      </c>
      <c r="M151" s="3">
        <f>ROUND(194*1.05,0)</f>
        <v>204</v>
      </c>
      <c r="N151" s="177">
        <f t="shared" si="19"/>
        <v>170</v>
      </c>
      <c r="O151" s="135"/>
      <c r="P151" s="136">
        <v>134.75</v>
      </c>
      <c r="Q151" s="61">
        <v>151</v>
      </c>
    </row>
    <row r="152" spans="1:17" ht="18.75">
      <c r="A152" s="655"/>
      <c r="B152" s="434"/>
      <c r="C152" s="204" t="s">
        <v>12</v>
      </c>
      <c r="D152" s="99" t="s">
        <v>79</v>
      </c>
      <c r="E152" s="596"/>
      <c r="F152" s="596"/>
      <c r="G152" s="841"/>
      <c r="H152" s="845"/>
      <c r="I152" s="853"/>
      <c r="J152" s="176">
        <f t="shared" ref="J152:J165" si="20">M152*1.3</f>
        <v>265.2</v>
      </c>
      <c r="K152" s="3">
        <f t="shared" ref="K152:K165" si="21">J152*0.95</f>
        <v>251.93999999999997</v>
      </c>
      <c r="L152" s="31">
        <f t="shared" ref="L152:L165" si="22">M152*1.05</f>
        <v>214.20000000000002</v>
      </c>
      <c r="M152" s="3">
        <f t="shared" ref="M152:M158" si="23">ROUND(194*1.05,0)</f>
        <v>204</v>
      </c>
      <c r="N152" s="177">
        <f t="shared" si="19"/>
        <v>170</v>
      </c>
      <c r="O152" s="135"/>
      <c r="P152" s="136">
        <v>134.75</v>
      </c>
      <c r="Q152" s="61">
        <v>151</v>
      </c>
    </row>
    <row r="153" spans="1:17" ht="30">
      <c r="A153" s="655"/>
      <c r="B153" s="434"/>
      <c r="C153" s="204" t="s">
        <v>38</v>
      </c>
      <c r="D153" s="99" t="s">
        <v>79</v>
      </c>
      <c r="E153" s="596"/>
      <c r="F153" s="596"/>
      <c r="G153" s="841"/>
      <c r="H153" s="845"/>
      <c r="I153" s="853"/>
      <c r="J153" s="176">
        <f t="shared" si="20"/>
        <v>265.2</v>
      </c>
      <c r="K153" s="3">
        <f t="shared" si="21"/>
        <v>251.93999999999997</v>
      </c>
      <c r="L153" s="31">
        <f t="shared" si="22"/>
        <v>214.20000000000002</v>
      </c>
      <c r="M153" s="3">
        <f t="shared" si="23"/>
        <v>204</v>
      </c>
      <c r="N153" s="177">
        <f t="shared" si="19"/>
        <v>170</v>
      </c>
      <c r="O153" s="135"/>
      <c r="P153" s="136">
        <v>134.75</v>
      </c>
      <c r="Q153" s="61">
        <v>151</v>
      </c>
    </row>
    <row r="154" spans="1:17" ht="30">
      <c r="A154" s="655"/>
      <c r="B154" s="434"/>
      <c r="C154" s="204" t="s">
        <v>44</v>
      </c>
      <c r="D154" s="99" t="s">
        <v>79</v>
      </c>
      <c r="E154" s="596"/>
      <c r="F154" s="596"/>
      <c r="G154" s="841"/>
      <c r="H154" s="845"/>
      <c r="I154" s="853"/>
      <c r="J154" s="176">
        <f t="shared" si="20"/>
        <v>265.2</v>
      </c>
      <c r="K154" s="3">
        <f t="shared" si="21"/>
        <v>251.93999999999997</v>
      </c>
      <c r="L154" s="31">
        <f t="shared" si="22"/>
        <v>214.20000000000002</v>
      </c>
      <c r="M154" s="3">
        <f t="shared" si="23"/>
        <v>204</v>
      </c>
      <c r="N154" s="177">
        <f t="shared" si="19"/>
        <v>170</v>
      </c>
      <c r="O154" s="135"/>
      <c r="P154" s="136">
        <v>134.75</v>
      </c>
      <c r="Q154" s="61">
        <v>151</v>
      </c>
    </row>
    <row r="155" spans="1:17" ht="60">
      <c r="A155" s="655"/>
      <c r="B155" s="434"/>
      <c r="C155" s="206" t="s">
        <v>86</v>
      </c>
      <c r="D155" s="99" t="s">
        <v>79</v>
      </c>
      <c r="E155" s="596"/>
      <c r="F155" s="596"/>
      <c r="G155" s="841"/>
      <c r="H155" s="845"/>
      <c r="I155" s="853"/>
      <c r="J155" s="176">
        <f t="shared" si="20"/>
        <v>265.2</v>
      </c>
      <c r="K155" s="3">
        <f t="shared" si="21"/>
        <v>251.93999999999997</v>
      </c>
      <c r="L155" s="31">
        <f t="shared" si="22"/>
        <v>214.20000000000002</v>
      </c>
      <c r="M155" s="3">
        <f t="shared" si="23"/>
        <v>204</v>
      </c>
      <c r="N155" s="177">
        <f t="shared" si="19"/>
        <v>170</v>
      </c>
      <c r="O155" s="135"/>
      <c r="P155" s="136">
        <v>134.75</v>
      </c>
      <c r="Q155" s="61">
        <v>151</v>
      </c>
    </row>
    <row r="156" spans="1:17" ht="45">
      <c r="A156" s="655"/>
      <c r="B156" s="434"/>
      <c r="C156" s="204" t="s">
        <v>107</v>
      </c>
      <c r="D156" s="99" t="s">
        <v>79</v>
      </c>
      <c r="E156" s="596"/>
      <c r="F156" s="596"/>
      <c r="G156" s="841"/>
      <c r="H156" s="845"/>
      <c r="I156" s="853"/>
      <c r="J156" s="176">
        <f t="shared" si="20"/>
        <v>265.2</v>
      </c>
      <c r="K156" s="3">
        <f t="shared" si="21"/>
        <v>251.93999999999997</v>
      </c>
      <c r="L156" s="31">
        <f t="shared" si="22"/>
        <v>214.20000000000002</v>
      </c>
      <c r="M156" s="3">
        <f t="shared" si="23"/>
        <v>204</v>
      </c>
      <c r="N156" s="177">
        <f t="shared" si="19"/>
        <v>170</v>
      </c>
      <c r="O156" s="135"/>
      <c r="P156" s="136">
        <v>134.75</v>
      </c>
      <c r="Q156" s="61">
        <v>151</v>
      </c>
    </row>
    <row r="157" spans="1:17" ht="60">
      <c r="A157" s="655"/>
      <c r="B157" s="434"/>
      <c r="C157" s="204" t="s">
        <v>108</v>
      </c>
      <c r="D157" s="99" t="s">
        <v>79</v>
      </c>
      <c r="E157" s="596"/>
      <c r="F157" s="596"/>
      <c r="G157" s="841"/>
      <c r="H157" s="845"/>
      <c r="I157" s="853"/>
      <c r="J157" s="176">
        <f t="shared" si="20"/>
        <v>265.2</v>
      </c>
      <c r="K157" s="3">
        <f t="shared" si="21"/>
        <v>251.93999999999997</v>
      </c>
      <c r="L157" s="31">
        <f t="shared" si="22"/>
        <v>214.20000000000002</v>
      </c>
      <c r="M157" s="3">
        <f t="shared" si="23"/>
        <v>204</v>
      </c>
      <c r="N157" s="177">
        <f t="shared" si="19"/>
        <v>170</v>
      </c>
      <c r="O157" s="135"/>
      <c r="P157" s="136">
        <v>134.75</v>
      </c>
      <c r="Q157" s="61">
        <v>151</v>
      </c>
    </row>
    <row r="158" spans="1:17" ht="45.75" thickBot="1">
      <c r="A158" s="656"/>
      <c r="B158" s="436"/>
      <c r="C158" s="334" t="s">
        <v>92</v>
      </c>
      <c r="D158" s="106" t="s">
        <v>79</v>
      </c>
      <c r="E158" s="597"/>
      <c r="F158" s="597"/>
      <c r="G158" s="842"/>
      <c r="H158" s="846"/>
      <c r="I158" s="854"/>
      <c r="J158" s="178">
        <f t="shared" si="20"/>
        <v>265.2</v>
      </c>
      <c r="K158" s="4">
        <f t="shared" si="21"/>
        <v>251.93999999999997</v>
      </c>
      <c r="L158" s="179">
        <f t="shared" si="22"/>
        <v>214.20000000000002</v>
      </c>
      <c r="M158" s="4">
        <f t="shared" si="23"/>
        <v>204</v>
      </c>
      <c r="N158" s="180">
        <f t="shared" si="19"/>
        <v>170</v>
      </c>
      <c r="O158" s="135"/>
      <c r="P158" s="136">
        <v>134.75</v>
      </c>
      <c r="Q158" s="62">
        <v>151</v>
      </c>
    </row>
    <row r="159" spans="1:17" ht="15.75" thickBot="1">
      <c r="A159" s="607" t="s">
        <v>117</v>
      </c>
      <c r="B159" s="651"/>
      <c r="C159" s="651"/>
      <c r="D159" s="651"/>
      <c r="E159" s="651"/>
      <c r="F159" s="651"/>
      <c r="G159" s="651"/>
      <c r="H159" s="651"/>
      <c r="I159" s="651"/>
      <c r="J159" s="651"/>
      <c r="K159" s="651"/>
      <c r="L159" s="651"/>
      <c r="M159" s="651"/>
      <c r="N159" s="652"/>
      <c r="O159" s="135"/>
      <c r="P159" s="136"/>
      <c r="Q159" s="129"/>
    </row>
    <row r="160" spans="1:17" ht="19.5" thickBot="1">
      <c r="A160" s="636">
        <v>3</v>
      </c>
      <c r="B160" s="432"/>
      <c r="C160" s="312" t="s">
        <v>6</v>
      </c>
      <c r="D160" s="83" t="s">
        <v>79</v>
      </c>
      <c r="E160" s="855" t="s">
        <v>118</v>
      </c>
      <c r="F160" s="797">
        <v>200</v>
      </c>
      <c r="G160" s="858">
        <v>52</v>
      </c>
      <c r="H160" s="861">
        <v>1821</v>
      </c>
      <c r="I160" s="864">
        <v>11</v>
      </c>
      <c r="J160" s="155">
        <f t="shared" si="20"/>
        <v>127.4</v>
      </c>
      <c r="K160" s="86">
        <f t="shared" si="21"/>
        <v>121.03</v>
      </c>
      <c r="L160" s="147">
        <f t="shared" si="22"/>
        <v>102.9</v>
      </c>
      <c r="M160" s="228">
        <f>ROUND(93*1.05,0)</f>
        <v>98</v>
      </c>
      <c r="N160" s="137">
        <f t="shared" si="19"/>
        <v>81.67</v>
      </c>
      <c r="O160" s="156">
        <v>75.83</v>
      </c>
      <c r="P160" s="136"/>
      <c r="Q160" s="129"/>
    </row>
    <row r="161" spans="1:17" ht="19.5" thickBot="1">
      <c r="A161" s="637"/>
      <c r="B161" s="433"/>
      <c r="C161" s="206" t="s">
        <v>12</v>
      </c>
      <c r="D161" s="193"/>
      <c r="E161" s="856"/>
      <c r="F161" s="798"/>
      <c r="G161" s="859"/>
      <c r="H161" s="862"/>
      <c r="I161" s="865"/>
      <c r="J161" s="172">
        <f>M161*1.3</f>
        <v>152.1</v>
      </c>
      <c r="K161" s="173">
        <f>J161*0.95</f>
        <v>144.49499999999998</v>
      </c>
      <c r="L161" s="174">
        <f>M161*1.05</f>
        <v>122.85000000000001</v>
      </c>
      <c r="M161" s="173">
        <f>ROUND(111*1.05,0)</f>
        <v>117</v>
      </c>
      <c r="N161" s="215">
        <f>ROUND(M161/1.2,2)</f>
        <v>97.5</v>
      </c>
      <c r="O161" s="156">
        <v>90.83</v>
      </c>
      <c r="P161" s="136"/>
      <c r="Q161" s="129"/>
    </row>
    <row r="162" spans="1:17" ht="30.75" thickBot="1">
      <c r="A162" s="637"/>
      <c r="B162" s="433"/>
      <c r="C162" s="206" t="s">
        <v>44</v>
      </c>
      <c r="D162" s="193"/>
      <c r="E162" s="856"/>
      <c r="F162" s="798"/>
      <c r="G162" s="859"/>
      <c r="H162" s="862"/>
      <c r="I162" s="865"/>
      <c r="J162" s="176">
        <f>M162*1.3</f>
        <v>152.1</v>
      </c>
      <c r="K162" s="3">
        <f>J162*0.95</f>
        <v>144.49499999999998</v>
      </c>
      <c r="L162" s="31">
        <f>M162*1.05</f>
        <v>122.85000000000001</v>
      </c>
      <c r="M162" s="3">
        <f>ROUND(111*1.05,0)</f>
        <v>117</v>
      </c>
      <c r="N162" s="219">
        <f>ROUND(M162/1.2,2)</f>
        <v>97.5</v>
      </c>
      <c r="O162" s="156">
        <v>90.83</v>
      </c>
      <c r="P162" s="136"/>
      <c r="Q162" s="129"/>
    </row>
    <row r="163" spans="1:17" ht="30.75" thickBot="1">
      <c r="A163" s="637"/>
      <c r="B163" s="434"/>
      <c r="C163" s="204" t="s">
        <v>38</v>
      </c>
      <c r="D163" s="99"/>
      <c r="E163" s="856"/>
      <c r="F163" s="798"/>
      <c r="G163" s="859"/>
      <c r="H163" s="862"/>
      <c r="I163" s="865"/>
      <c r="J163" s="176">
        <f t="shared" si="20"/>
        <v>152.1</v>
      </c>
      <c r="K163" s="3">
        <f t="shared" si="21"/>
        <v>144.49499999999998</v>
      </c>
      <c r="L163" s="31">
        <f t="shared" si="22"/>
        <v>122.85000000000001</v>
      </c>
      <c r="M163" s="3">
        <f>ROUND(111*1.05,0)</f>
        <v>117</v>
      </c>
      <c r="N163" s="219">
        <f t="shared" si="19"/>
        <v>97.5</v>
      </c>
      <c r="O163" s="156">
        <v>90.83</v>
      </c>
      <c r="P163" s="136"/>
      <c r="Q163" s="129"/>
    </row>
    <row r="164" spans="1:17" ht="45.75" thickBot="1">
      <c r="A164" s="637"/>
      <c r="B164" s="435"/>
      <c r="C164" s="426" t="s">
        <v>93</v>
      </c>
      <c r="D164" s="17"/>
      <c r="E164" s="856"/>
      <c r="F164" s="798"/>
      <c r="G164" s="859"/>
      <c r="H164" s="862"/>
      <c r="I164" s="865"/>
      <c r="J164" s="176">
        <f>M164*1.3</f>
        <v>152.1</v>
      </c>
      <c r="K164" s="3">
        <f>J164*0.95</f>
        <v>144.49499999999998</v>
      </c>
      <c r="L164" s="31">
        <f>M164*1.05</f>
        <v>122.85000000000001</v>
      </c>
      <c r="M164" s="3">
        <f>ROUND(111*1.05,0)</f>
        <v>117</v>
      </c>
      <c r="N164" s="219">
        <f>ROUND(M164/1.2,2)</f>
        <v>97.5</v>
      </c>
      <c r="O164" s="156">
        <v>90.83</v>
      </c>
      <c r="P164" s="136"/>
      <c r="Q164" s="129"/>
    </row>
    <row r="165" spans="1:17" ht="60.75" thickBot="1">
      <c r="A165" s="638"/>
      <c r="B165" s="436"/>
      <c r="C165" s="334" t="s">
        <v>86</v>
      </c>
      <c r="D165" s="106"/>
      <c r="E165" s="857"/>
      <c r="F165" s="799"/>
      <c r="G165" s="860"/>
      <c r="H165" s="863"/>
      <c r="I165" s="866"/>
      <c r="J165" s="4">
        <f t="shared" si="20"/>
        <v>152.1</v>
      </c>
      <c r="K165" s="4">
        <f t="shared" si="21"/>
        <v>144.49499999999998</v>
      </c>
      <c r="L165" s="4">
        <f t="shared" si="22"/>
        <v>122.85000000000001</v>
      </c>
      <c r="M165" s="4">
        <f>ROUND(111*1.05,0)</f>
        <v>117</v>
      </c>
      <c r="N165" s="223">
        <f t="shared" si="19"/>
        <v>97.5</v>
      </c>
      <c r="O165" s="156">
        <v>90.83</v>
      </c>
      <c r="P165" s="136"/>
      <c r="Q165" s="129"/>
    </row>
    <row r="166" spans="1:17" ht="15.75" thickBot="1">
      <c r="A166" s="657" t="s">
        <v>31</v>
      </c>
      <c r="B166" s="658"/>
      <c r="C166" s="658"/>
      <c r="D166" s="658"/>
      <c r="E166" s="658"/>
      <c r="F166" s="658"/>
      <c r="G166" s="658"/>
      <c r="H166" s="658"/>
      <c r="I166" s="658"/>
      <c r="J166" s="658"/>
      <c r="K166" s="658"/>
      <c r="L166" s="658"/>
      <c r="M166" s="658"/>
      <c r="N166" s="659"/>
      <c r="O166" s="135"/>
      <c r="P166" s="136">
        <v>0</v>
      </c>
      <c r="Q166" s="58"/>
    </row>
    <row r="167" spans="1:17" ht="19.5" thickBot="1">
      <c r="A167" s="847">
        <v>4</v>
      </c>
      <c r="B167" s="428"/>
      <c r="C167" s="128" t="s">
        <v>6</v>
      </c>
      <c r="D167" s="37" t="s">
        <v>79</v>
      </c>
      <c r="E167" s="366" t="s">
        <v>64</v>
      </c>
      <c r="F167" s="848">
        <v>60</v>
      </c>
      <c r="G167" s="318">
        <v>60</v>
      </c>
      <c r="H167" s="315">
        <v>1498</v>
      </c>
      <c r="I167" s="349">
        <v>13</v>
      </c>
      <c r="J167" s="85">
        <f>ROUND(M167+M167*R167,0)</f>
        <v>322</v>
      </c>
      <c r="K167" s="86">
        <f>J167*0.97</f>
        <v>312.33999999999997</v>
      </c>
      <c r="L167" s="74">
        <f>M167*1.03</f>
        <v>331.66</v>
      </c>
      <c r="M167" s="86">
        <f>ROUND(307*1.05,0)</f>
        <v>322</v>
      </c>
      <c r="N167" s="87">
        <f>ROUND(M167/1.2,2)</f>
        <v>268.33</v>
      </c>
      <c r="O167" s="135"/>
      <c r="P167" s="136">
        <v>211.86</v>
      </c>
      <c r="Q167" s="64">
        <v>238</v>
      </c>
    </row>
    <row r="168" spans="1:17" ht="18.75">
      <c r="A168" s="637"/>
      <c r="B168" s="429"/>
      <c r="C168" s="350" t="s">
        <v>44</v>
      </c>
      <c r="D168" s="96"/>
      <c r="E168" s="367" t="s">
        <v>64</v>
      </c>
      <c r="F168" s="849"/>
      <c r="G168" s="134">
        <v>60</v>
      </c>
      <c r="H168" s="102">
        <v>1498</v>
      </c>
      <c r="I168" s="103">
        <v>13</v>
      </c>
      <c r="J168" s="172">
        <f>ROUND(M168+M168*R168,0)</f>
        <v>431</v>
      </c>
      <c r="K168" s="173">
        <f>J168*0.95</f>
        <v>409.45</v>
      </c>
      <c r="L168" s="174">
        <f>M168*1.04</f>
        <v>448.24</v>
      </c>
      <c r="M168" s="173">
        <f>ROUND(410*1.05,0)</f>
        <v>431</v>
      </c>
      <c r="N168" s="175">
        <f>ROUND(M168/1.2,2)</f>
        <v>359.17</v>
      </c>
      <c r="O168" s="135"/>
      <c r="P168" s="136">
        <v>284.75</v>
      </c>
      <c r="Q168" s="64">
        <v>320</v>
      </c>
    </row>
    <row r="169" spans="1:17" ht="18.75">
      <c r="A169" s="637"/>
      <c r="B169" s="430"/>
      <c r="C169" s="351" t="s">
        <v>38</v>
      </c>
      <c r="D169" s="97"/>
      <c r="E169" s="368" t="s">
        <v>64</v>
      </c>
      <c r="F169" s="849"/>
      <c r="G169" s="132">
        <v>60</v>
      </c>
      <c r="H169" s="104">
        <v>1498</v>
      </c>
      <c r="I169" s="105">
        <v>13</v>
      </c>
      <c r="J169" s="176">
        <f>ROUND(M169+M169*R169,0)</f>
        <v>431</v>
      </c>
      <c r="K169" s="3">
        <f>J169*0.95</f>
        <v>409.45</v>
      </c>
      <c r="L169" s="31">
        <f>M169*1.04</f>
        <v>448.24</v>
      </c>
      <c r="M169" s="3">
        <f>ROUND(410*1.05,0)</f>
        <v>431</v>
      </c>
      <c r="N169" s="177">
        <f>ROUND(M169/1.2,2)</f>
        <v>359.17</v>
      </c>
      <c r="O169" s="135"/>
      <c r="P169" s="136">
        <v>284.75</v>
      </c>
      <c r="Q169" s="64">
        <v>320</v>
      </c>
    </row>
    <row r="170" spans="1:17" ht="19.5" thickBot="1">
      <c r="A170" s="638"/>
      <c r="B170" s="431"/>
      <c r="C170" s="352" t="s">
        <v>12</v>
      </c>
      <c r="D170" s="154"/>
      <c r="E170" s="369" t="s">
        <v>64</v>
      </c>
      <c r="F170" s="850"/>
      <c r="G170" s="133">
        <v>60</v>
      </c>
      <c r="H170" s="107">
        <v>1498</v>
      </c>
      <c r="I170" s="108">
        <v>13</v>
      </c>
      <c r="J170" s="178">
        <f>ROUND(M170+M170*R170,0)</f>
        <v>431</v>
      </c>
      <c r="K170" s="4">
        <f>J170*0.95</f>
        <v>409.45</v>
      </c>
      <c r="L170" s="179">
        <f>M170*1.04</f>
        <v>448.24</v>
      </c>
      <c r="M170" s="4">
        <f>ROUND(410*1.05,0)</f>
        <v>431</v>
      </c>
      <c r="N170" s="180">
        <f>ROUND(M170/1.2,2)</f>
        <v>359.17</v>
      </c>
      <c r="O170" s="135"/>
      <c r="P170" s="136">
        <v>284.75</v>
      </c>
      <c r="Q170" s="65">
        <v>320</v>
      </c>
    </row>
    <row r="171" spans="1:17" ht="19.5" thickBot="1">
      <c r="A171" s="66"/>
      <c r="B171" s="75"/>
      <c r="C171" s="75"/>
      <c r="D171" s="67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</row>
    <row r="172" spans="1:17" ht="21.75" thickBot="1">
      <c r="A172" s="620" t="s">
        <v>140</v>
      </c>
      <c r="B172" s="621"/>
      <c r="C172" s="621"/>
      <c r="D172" s="621"/>
      <c r="E172" s="621"/>
      <c r="F172" s="621"/>
      <c r="G172" s="621"/>
      <c r="H172" s="621"/>
      <c r="I172" s="621"/>
      <c r="J172" s="621"/>
      <c r="K172" s="621"/>
      <c r="L172" s="621"/>
      <c r="M172" s="621"/>
      <c r="N172" s="621"/>
      <c r="O172" s="621"/>
      <c r="P172" s="621"/>
      <c r="Q172" s="622"/>
    </row>
    <row r="173" spans="1:17" ht="123" thickBot="1">
      <c r="A173" s="76" t="s">
        <v>0</v>
      </c>
      <c r="B173" s="639" t="s">
        <v>5</v>
      </c>
      <c r="C173" s="640"/>
      <c r="D173" s="641"/>
      <c r="E173" s="77" t="s">
        <v>7</v>
      </c>
      <c r="F173" s="77" t="s">
        <v>16</v>
      </c>
      <c r="G173" s="77" t="s">
        <v>138</v>
      </c>
      <c r="H173" s="78" t="s">
        <v>8</v>
      </c>
      <c r="I173" s="77" t="s">
        <v>25</v>
      </c>
      <c r="J173" s="79" t="s">
        <v>33</v>
      </c>
      <c r="K173" s="77" t="s">
        <v>56</v>
      </c>
      <c r="L173" s="78" t="s">
        <v>82</v>
      </c>
      <c r="M173" s="77" t="s">
        <v>53</v>
      </c>
      <c r="N173" s="80" t="s">
        <v>54</v>
      </c>
      <c r="O173" s="373">
        <v>1.05</v>
      </c>
      <c r="P173" s="77" t="s">
        <v>119</v>
      </c>
      <c r="Q173" s="77" t="s">
        <v>120</v>
      </c>
    </row>
    <row r="174" spans="1:17" ht="15.75" thickBot="1">
      <c r="A174" s="607" t="s">
        <v>34</v>
      </c>
      <c r="B174" s="608"/>
      <c r="C174" s="608"/>
      <c r="D174" s="608"/>
      <c r="E174" s="608"/>
      <c r="F174" s="608"/>
      <c r="G174" s="608"/>
      <c r="H174" s="608"/>
      <c r="I174" s="608"/>
      <c r="J174" s="608"/>
      <c r="K174" s="608"/>
      <c r="L174" s="608"/>
      <c r="M174" s="608"/>
      <c r="N174" s="609"/>
      <c r="O174" s="374"/>
      <c r="P174" s="375">
        <v>0</v>
      </c>
      <c r="Q174" s="376"/>
    </row>
    <row r="175" spans="1:17" ht="18.75">
      <c r="A175" s="636">
        <v>1</v>
      </c>
      <c r="B175" s="320"/>
      <c r="C175" s="243" t="s">
        <v>15</v>
      </c>
      <c r="D175" s="109" t="s">
        <v>113</v>
      </c>
      <c r="E175" s="245" t="s">
        <v>40</v>
      </c>
      <c r="F175" s="361">
        <v>60</v>
      </c>
      <c r="G175" s="256">
        <v>12.24</v>
      </c>
      <c r="H175" s="237">
        <v>1650</v>
      </c>
      <c r="I175" s="113">
        <v>12</v>
      </c>
      <c r="J175" s="172">
        <f>ROUND(M175+M175*R175,0)</f>
        <v>1024</v>
      </c>
      <c r="K175" s="173">
        <f>ROUND(J175-(J175*S175),0)</f>
        <v>1024</v>
      </c>
      <c r="L175" s="174">
        <f>M175*1.04</f>
        <v>1064.96</v>
      </c>
      <c r="M175" s="173">
        <f>ROUND(975*1.05,0)</f>
        <v>1024</v>
      </c>
      <c r="N175" s="175">
        <f>ROUND(M175/1.2,2)</f>
        <v>853.33</v>
      </c>
      <c r="O175" s="374"/>
      <c r="P175" s="375"/>
      <c r="Q175" s="262"/>
    </row>
    <row r="176" spans="1:17" ht="19.5" thickBot="1">
      <c r="A176" s="638"/>
      <c r="B176" s="321"/>
      <c r="C176" s="244" t="s">
        <v>38</v>
      </c>
      <c r="D176" s="100" t="s">
        <v>113</v>
      </c>
      <c r="E176" s="246" t="s">
        <v>40</v>
      </c>
      <c r="F176" s="362">
        <v>60</v>
      </c>
      <c r="G176" s="257">
        <v>12.24</v>
      </c>
      <c r="H176" s="239">
        <v>1650</v>
      </c>
      <c r="I176" s="149">
        <v>12</v>
      </c>
      <c r="J176" s="178">
        <f>ROUND(M176+M176*R176,0)</f>
        <v>1024</v>
      </c>
      <c r="K176" s="4">
        <f>ROUND(J176-(J176*S176),0)</f>
        <v>1024</v>
      </c>
      <c r="L176" s="179">
        <f>M176*1.04</f>
        <v>1064.96</v>
      </c>
      <c r="M176" s="4">
        <f>ROUND(975*1.05,0)</f>
        <v>1024</v>
      </c>
      <c r="N176" s="180">
        <f>ROUND(M176/1.2,2)</f>
        <v>853.33</v>
      </c>
      <c r="O176" s="374"/>
      <c r="P176" s="375"/>
      <c r="Q176" s="262"/>
    </row>
    <row r="177" spans="1:17" ht="15.75" thickBot="1">
      <c r="A177" s="607" t="s">
        <v>10</v>
      </c>
      <c r="B177" s="608"/>
      <c r="C177" s="608"/>
      <c r="D177" s="608"/>
      <c r="E177" s="608"/>
      <c r="F177" s="608"/>
      <c r="G177" s="608"/>
      <c r="H177" s="608"/>
      <c r="I177" s="608"/>
      <c r="J177" s="608"/>
      <c r="K177" s="608"/>
      <c r="L177" s="608"/>
      <c r="M177" s="608"/>
      <c r="N177" s="609"/>
      <c r="O177" s="374"/>
      <c r="P177" s="375">
        <v>0</v>
      </c>
      <c r="Q177" s="377"/>
    </row>
    <row r="178" spans="1:17" ht="75.75" thickBot="1">
      <c r="A178" s="150">
        <v>2</v>
      </c>
      <c r="B178" s="81"/>
      <c r="C178" s="114" t="s">
        <v>6</v>
      </c>
      <c r="D178" s="115" t="s">
        <v>113</v>
      </c>
      <c r="E178" s="116" t="s">
        <v>129</v>
      </c>
      <c r="F178" s="116">
        <v>80</v>
      </c>
      <c r="G178" s="130">
        <v>11.52</v>
      </c>
      <c r="H178" s="111">
        <v>2159</v>
      </c>
      <c r="I178" s="112">
        <v>9</v>
      </c>
      <c r="J178" s="85">
        <f>ROUND(M178+M178*R178,0)</f>
        <v>1078</v>
      </c>
      <c r="K178" s="86">
        <f>ROUND(J178-(J178*S178),0)</f>
        <v>1078</v>
      </c>
      <c r="L178" s="74">
        <f>M178*1.03</f>
        <v>1110.3399999999999</v>
      </c>
      <c r="M178" s="86">
        <f>ROUND(1027*1.05,0)</f>
        <v>1078</v>
      </c>
      <c r="N178" s="87">
        <f>ROUND(M178/1.2,2)</f>
        <v>898.33</v>
      </c>
      <c r="O178" s="374"/>
      <c r="P178" s="375">
        <v>711.86</v>
      </c>
      <c r="Q178" s="49">
        <v>800</v>
      </c>
    </row>
    <row r="179" spans="1:17" ht="15.75" thickBot="1">
      <c r="A179" s="607" t="s">
        <v>2</v>
      </c>
      <c r="B179" s="608"/>
      <c r="C179" s="608"/>
      <c r="D179" s="608"/>
      <c r="E179" s="608"/>
      <c r="F179" s="608"/>
      <c r="G179" s="608"/>
      <c r="H179" s="608"/>
      <c r="I179" s="608"/>
      <c r="J179" s="608"/>
      <c r="K179" s="608"/>
      <c r="L179" s="608"/>
      <c r="M179" s="608"/>
      <c r="N179" s="609"/>
      <c r="O179" s="374"/>
      <c r="P179" s="375">
        <v>0</v>
      </c>
      <c r="Q179" s="377"/>
    </row>
    <row r="180" spans="1:17" ht="18.75">
      <c r="A180" s="598">
        <v>3</v>
      </c>
      <c r="B180" s="595"/>
      <c r="C180" s="677" t="s">
        <v>6</v>
      </c>
      <c r="D180" s="109" t="s">
        <v>113</v>
      </c>
      <c r="E180" s="867" t="s">
        <v>17</v>
      </c>
      <c r="F180" s="320">
        <v>60</v>
      </c>
      <c r="G180" s="166">
        <v>12</v>
      </c>
      <c r="H180" s="117">
        <v>1654</v>
      </c>
      <c r="I180" s="164">
        <v>12</v>
      </c>
      <c r="J180" s="172">
        <f t="shared" ref="J180:J191" si="24">ROUND(M180+M180*R180,0)</f>
        <v>969</v>
      </c>
      <c r="K180" s="173">
        <f t="shared" ref="K180:K191" si="25">ROUND(J180-(J180*S180),0)</f>
        <v>969</v>
      </c>
      <c r="L180" s="174">
        <f>M180*1.03</f>
        <v>998.07</v>
      </c>
      <c r="M180" s="173">
        <f>ROUND(923*1.05,0)</f>
        <v>969</v>
      </c>
      <c r="N180" s="215">
        <f t="shared" ref="N180:N191" si="26">ROUND(M180/1.2,2)</f>
        <v>807.5</v>
      </c>
      <c r="O180" s="300"/>
      <c r="P180" s="301">
        <v>640.67999999999995</v>
      </c>
      <c r="Q180" s="19">
        <v>720</v>
      </c>
    </row>
    <row r="181" spans="1:17" ht="18.75">
      <c r="A181" s="599"/>
      <c r="B181" s="601"/>
      <c r="C181" s="678"/>
      <c r="D181" s="98" t="s">
        <v>113</v>
      </c>
      <c r="E181" s="820"/>
      <c r="F181" s="386">
        <v>70</v>
      </c>
      <c r="G181" s="167">
        <v>11</v>
      </c>
      <c r="H181" s="119">
        <v>1773</v>
      </c>
      <c r="I181" s="165">
        <v>11</v>
      </c>
      <c r="J181" s="176">
        <f t="shared" si="24"/>
        <v>1024</v>
      </c>
      <c r="K181" s="3">
        <f t="shared" si="25"/>
        <v>1024</v>
      </c>
      <c r="L181" s="31">
        <f>M181*1.03</f>
        <v>1054.72</v>
      </c>
      <c r="M181" s="3">
        <f>ROUND(975*1.05,0)</f>
        <v>1024</v>
      </c>
      <c r="N181" s="177">
        <f t="shared" si="26"/>
        <v>853.33</v>
      </c>
      <c r="O181" s="302"/>
      <c r="P181" s="303">
        <v>676.27</v>
      </c>
      <c r="Q181" s="42">
        <v>760</v>
      </c>
    </row>
    <row r="182" spans="1:17" ht="19.5" thickBot="1">
      <c r="A182" s="599"/>
      <c r="B182" s="597"/>
      <c r="C182" s="679"/>
      <c r="D182" s="356" t="s">
        <v>113</v>
      </c>
      <c r="E182" s="820"/>
      <c r="F182" s="321">
        <v>80</v>
      </c>
      <c r="G182" s="385">
        <v>10</v>
      </c>
      <c r="H182" s="239">
        <v>1842</v>
      </c>
      <c r="I182" s="125">
        <v>10</v>
      </c>
      <c r="J182" s="178">
        <f t="shared" si="24"/>
        <v>1146</v>
      </c>
      <c r="K182" s="4">
        <f t="shared" si="25"/>
        <v>1146</v>
      </c>
      <c r="L182" s="179">
        <f>M182*1.03</f>
        <v>1180.3800000000001</v>
      </c>
      <c r="M182" s="4">
        <f>ROUND(1091*1.05,0)</f>
        <v>1146</v>
      </c>
      <c r="N182" s="180">
        <f t="shared" si="26"/>
        <v>955</v>
      </c>
      <c r="O182" s="304"/>
      <c r="P182" s="305">
        <v>756.78</v>
      </c>
      <c r="Q182" s="50">
        <v>850</v>
      </c>
    </row>
    <row r="183" spans="1:17" ht="18.75">
      <c r="A183" s="599"/>
      <c r="B183" s="610"/>
      <c r="C183" s="611" t="s">
        <v>12</v>
      </c>
      <c r="D183" s="109" t="s">
        <v>113</v>
      </c>
      <c r="E183" s="820"/>
      <c r="F183" s="320">
        <v>60</v>
      </c>
      <c r="G183" s="166">
        <v>12</v>
      </c>
      <c r="H183" s="117">
        <v>1654</v>
      </c>
      <c r="I183" s="164">
        <v>12</v>
      </c>
      <c r="J183" s="306">
        <f t="shared" si="24"/>
        <v>1184</v>
      </c>
      <c r="K183" s="307">
        <f t="shared" si="25"/>
        <v>1184</v>
      </c>
      <c r="L183" s="174">
        <f>M183*1.04</f>
        <v>1231.3600000000001</v>
      </c>
      <c r="M183" s="173">
        <f>ROUND(1128*1.05,0)</f>
        <v>1184</v>
      </c>
      <c r="N183" s="308">
        <f t="shared" si="26"/>
        <v>986.67</v>
      </c>
      <c r="O183" s="300"/>
      <c r="P183" s="301">
        <v>783.05</v>
      </c>
      <c r="Q183" s="19">
        <v>880</v>
      </c>
    </row>
    <row r="184" spans="1:17" ht="18.75">
      <c r="A184" s="599"/>
      <c r="B184" s="596"/>
      <c r="C184" s="612"/>
      <c r="D184" s="98" t="s">
        <v>113</v>
      </c>
      <c r="E184" s="820"/>
      <c r="F184" s="386">
        <v>70</v>
      </c>
      <c r="G184" s="167">
        <v>11</v>
      </c>
      <c r="H184" s="119">
        <v>1773</v>
      </c>
      <c r="I184" s="165">
        <v>11</v>
      </c>
      <c r="J184" s="176">
        <f t="shared" si="24"/>
        <v>1212</v>
      </c>
      <c r="K184" s="3">
        <f t="shared" si="25"/>
        <v>1212</v>
      </c>
      <c r="L184" s="31">
        <f t="shared" ref="L184:L191" si="27">M184*1.04</f>
        <v>1260.48</v>
      </c>
      <c r="M184" s="3">
        <f>ROUND(1154*1.05,0)</f>
        <v>1212</v>
      </c>
      <c r="N184" s="177">
        <f t="shared" si="26"/>
        <v>1010</v>
      </c>
      <c r="O184" s="302"/>
      <c r="P184" s="303">
        <v>800.85</v>
      </c>
      <c r="Q184" s="42">
        <v>900</v>
      </c>
    </row>
    <row r="185" spans="1:17" ht="19.5" thickBot="1">
      <c r="A185" s="599"/>
      <c r="B185" s="597"/>
      <c r="C185" s="613"/>
      <c r="D185" s="100" t="s">
        <v>113</v>
      </c>
      <c r="E185" s="820"/>
      <c r="F185" s="321">
        <v>80</v>
      </c>
      <c r="G185" s="385">
        <v>10</v>
      </c>
      <c r="H185" s="239">
        <v>1842</v>
      </c>
      <c r="I185" s="125">
        <v>10</v>
      </c>
      <c r="J185" s="178">
        <f t="shared" si="24"/>
        <v>1238</v>
      </c>
      <c r="K185" s="4">
        <f t="shared" si="25"/>
        <v>1238</v>
      </c>
      <c r="L185" s="179">
        <f t="shared" si="27"/>
        <v>1287.52</v>
      </c>
      <c r="M185" s="4">
        <f>ROUND(1179*1.05,0)</f>
        <v>1238</v>
      </c>
      <c r="N185" s="180">
        <f t="shared" si="26"/>
        <v>1031.67</v>
      </c>
      <c r="O185" s="304"/>
      <c r="P185" s="305">
        <v>818.64</v>
      </c>
      <c r="Q185" s="50">
        <v>920</v>
      </c>
    </row>
    <row r="186" spans="1:17" ht="18.75">
      <c r="A186" s="599"/>
      <c r="B186" s="610"/>
      <c r="C186" s="672" t="s">
        <v>13</v>
      </c>
      <c r="D186" s="109" t="s">
        <v>113</v>
      </c>
      <c r="E186" s="820"/>
      <c r="F186" s="320">
        <v>60</v>
      </c>
      <c r="G186" s="166">
        <v>12</v>
      </c>
      <c r="H186" s="117">
        <v>1654</v>
      </c>
      <c r="I186" s="164">
        <v>12</v>
      </c>
      <c r="J186" s="306">
        <f t="shared" si="24"/>
        <v>1184</v>
      </c>
      <c r="K186" s="307">
        <f t="shared" si="25"/>
        <v>1184</v>
      </c>
      <c r="L186" s="174">
        <f t="shared" si="27"/>
        <v>1231.3600000000001</v>
      </c>
      <c r="M186" s="173">
        <f>ROUND(1128*1.05,0)</f>
        <v>1184</v>
      </c>
      <c r="N186" s="308">
        <f t="shared" si="26"/>
        <v>986.67</v>
      </c>
      <c r="O186" s="300"/>
      <c r="P186" s="301">
        <v>783.05</v>
      </c>
      <c r="Q186" s="19">
        <v>880</v>
      </c>
    </row>
    <row r="187" spans="1:17" ht="18.75">
      <c r="A187" s="599"/>
      <c r="B187" s="614"/>
      <c r="C187" s="612"/>
      <c r="D187" s="98" t="s">
        <v>113</v>
      </c>
      <c r="E187" s="820"/>
      <c r="F187" s="386">
        <v>70</v>
      </c>
      <c r="G187" s="167">
        <v>11</v>
      </c>
      <c r="H187" s="119">
        <v>1773</v>
      </c>
      <c r="I187" s="165">
        <v>11</v>
      </c>
      <c r="J187" s="176">
        <f t="shared" si="24"/>
        <v>1212</v>
      </c>
      <c r="K187" s="3">
        <f t="shared" si="25"/>
        <v>1212</v>
      </c>
      <c r="L187" s="31">
        <f t="shared" si="27"/>
        <v>1260.48</v>
      </c>
      <c r="M187" s="3">
        <f>ROUND(1154*1.05,0)</f>
        <v>1212</v>
      </c>
      <c r="N187" s="177">
        <f t="shared" si="26"/>
        <v>1010</v>
      </c>
      <c r="O187" s="302"/>
      <c r="P187" s="303">
        <v>800.85</v>
      </c>
      <c r="Q187" s="42">
        <v>900</v>
      </c>
    </row>
    <row r="188" spans="1:17" ht="19.5" thickBot="1">
      <c r="A188" s="599"/>
      <c r="B188" s="615"/>
      <c r="C188" s="673"/>
      <c r="D188" s="100" t="s">
        <v>113</v>
      </c>
      <c r="E188" s="820"/>
      <c r="F188" s="321">
        <v>80</v>
      </c>
      <c r="G188" s="385">
        <v>10</v>
      </c>
      <c r="H188" s="239">
        <v>1842</v>
      </c>
      <c r="I188" s="125">
        <v>10</v>
      </c>
      <c r="J188" s="178">
        <f t="shared" si="24"/>
        <v>1238</v>
      </c>
      <c r="K188" s="4">
        <f t="shared" si="25"/>
        <v>1238</v>
      </c>
      <c r="L188" s="179">
        <f t="shared" si="27"/>
        <v>1287.52</v>
      </c>
      <c r="M188" s="4">
        <f>ROUND(1179*1.05,0)</f>
        <v>1238</v>
      </c>
      <c r="N188" s="180">
        <f t="shared" si="26"/>
        <v>1031.67</v>
      </c>
      <c r="O188" s="304"/>
      <c r="P188" s="305">
        <v>818.64</v>
      </c>
      <c r="Q188" s="50">
        <v>920</v>
      </c>
    </row>
    <row r="189" spans="1:17" ht="18.75">
      <c r="A189" s="599"/>
      <c r="B189" s="595"/>
      <c r="C189" s="677" t="s">
        <v>28</v>
      </c>
      <c r="D189" s="348" t="s">
        <v>113</v>
      </c>
      <c r="E189" s="820"/>
      <c r="F189" s="320">
        <v>60</v>
      </c>
      <c r="G189" s="166">
        <v>12</v>
      </c>
      <c r="H189" s="117">
        <v>1654</v>
      </c>
      <c r="I189" s="164">
        <v>12</v>
      </c>
      <c r="J189" s="306">
        <f t="shared" si="24"/>
        <v>1184</v>
      </c>
      <c r="K189" s="307">
        <f t="shared" si="25"/>
        <v>1184</v>
      </c>
      <c r="L189" s="174">
        <f t="shared" si="27"/>
        <v>1231.3600000000001</v>
      </c>
      <c r="M189" s="173">
        <f>ROUND(1128*1.05,0)</f>
        <v>1184</v>
      </c>
      <c r="N189" s="308">
        <f t="shared" si="26"/>
        <v>986.67</v>
      </c>
      <c r="O189" s="300"/>
      <c r="P189" s="301">
        <v>783.05</v>
      </c>
      <c r="Q189" s="19">
        <v>880</v>
      </c>
    </row>
    <row r="190" spans="1:17" ht="18.75">
      <c r="A190" s="599"/>
      <c r="B190" s="596"/>
      <c r="C190" s="678"/>
      <c r="D190" s="98" t="s">
        <v>113</v>
      </c>
      <c r="E190" s="820"/>
      <c r="F190" s="386">
        <v>70</v>
      </c>
      <c r="G190" s="167">
        <v>11</v>
      </c>
      <c r="H190" s="119">
        <v>1773</v>
      </c>
      <c r="I190" s="165">
        <v>11</v>
      </c>
      <c r="J190" s="176">
        <f t="shared" si="24"/>
        <v>1212</v>
      </c>
      <c r="K190" s="3">
        <f t="shared" si="25"/>
        <v>1212</v>
      </c>
      <c r="L190" s="31">
        <f t="shared" si="27"/>
        <v>1260.48</v>
      </c>
      <c r="M190" s="3">
        <f>ROUND(1154*1.05,0)</f>
        <v>1212</v>
      </c>
      <c r="N190" s="177">
        <f t="shared" si="26"/>
        <v>1010</v>
      </c>
      <c r="O190" s="302"/>
      <c r="P190" s="303">
        <v>800.85</v>
      </c>
      <c r="Q190" s="42">
        <v>900</v>
      </c>
    </row>
    <row r="191" spans="1:17" ht="19.5" thickBot="1">
      <c r="A191" s="600"/>
      <c r="B191" s="597"/>
      <c r="C191" s="679"/>
      <c r="D191" s="100" t="s">
        <v>113</v>
      </c>
      <c r="E191" s="868"/>
      <c r="F191" s="321">
        <v>80</v>
      </c>
      <c r="G191" s="385">
        <v>10</v>
      </c>
      <c r="H191" s="239">
        <v>1842</v>
      </c>
      <c r="I191" s="125">
        <v>10</v>
      </c>
      <c r="J191" s="178">
        <f t="shared" si="24"/>
        <v>1238</v>
      </c>
      <c r="K191" s="4">
        <f t="shared" si="25"/>
        <v>1238</v>
      </c>
      <c r="L191" s="179">
        <f t="shared" si="27"/>
        <v>1287.52</v>
      </c>
      <c r="M191" s="4">
        <f>ROUND(1179*1.05,0)</f>
        <v>1238</v>
      </c>
      <c r="N191" s="180">
        <f t="shared" si="26"/>
        <v>1031.67</v>
      </c>
      <c r="O191" s="304"/>
      <c r="P191" s="305">
        <v>818.64</v>
      </c>
      <c r="Q191" s="50">
        <v>920</v>
      </c>
    </row>
    <row r="192" spans="1:17" ht="15.75" thickBot="1">
      <c r="A192" s="607" t="s">
        <v>81</v>
      </c>
      <c r="B192" s="608"/>
      <c r="C192" s="608"/>
      <c r="D192" s="608"/>
      <c r="E192" s="608"/>
      <c r="F192" s="608"/>
      <c r="G192" s="608"/>
      <c r="H192" s="608"/>
      <c r="I192" s="608"/>
      <c r="J192" s="608"/>
      <c r="K192" s="608"/>
      <c r="L192" s="608"/>
      <c r="M192" s="608"/>
      <c r="N192" s="609"/>
      <c r="O192" s="374"/>
      <c r="P192" s="375">
        <v>0</v>
      </c>
      <c r="Q192" s="378"/>
    </row>
    <row r="193" spans="1:17" ht="18.75">
      <c r="A193" s="720">
        <v>4</v>
      </c>
      <c r="B193" s="126"/>
      <c r="C193" s="254" t="s">
        <v>6</v>
      </c>
      <c r="D193" s="109" t="s">
        <v>113</v>
      </c>
      <c r="E193" s="243" t="s">
        <v>41</v>
      </c>
      <c r="F193" s="835">
        <v>60</v>
      </c>
      <c r="G193" s="256">
        <v>10.38</v>
      </c>
      <c r="H193" s="237">
        <v>1448</v>
      </c>
      <c r="I193" s="248">
        <v>13</v>
      </c>
      <c r="J193" s="172">
        <f>ROUND(M193+M193*R193,0)</f>
        <v>1131</v>
      </c>
      <c r="K193" s="173">
        <f>ROUND(J193-(J193*S193),0)</f>
        <v>1131</v>
      </c>
      <c r="L193" s="174">
        <f>M193*1.03</f>
        <v>1164.93</v>
      </c>
      <c r="M193" s="173">
        <f>ROUND(1077*1.05,0)</f>
        <v>1131</v>
      </c>
      <c r="N193" s="215">
        <f>ROUND(M193/1.2,2)</f>
        <v>942.5</v>
      </c>
      <c r="O193" s="300"/>
      <c r="P193" s="301">
        <v>747.46</v>
      </c>
      <c r="Q193" s="19">
        <v>840</v>
      </c>
    </row>
    <row r="194" spans="1:17" ht="19.5" thickBot="1">
      <c r="A194" s="721"/>
      <c r="B194" s="127"/>
      <c r="C194" s="255" t="s">
        <v>12</v>
      </c>
      <c r="D194" s="100" t="s">
        <v>113</v>
      </c>
      <c r="E194" s="244" t="s">
        <v>41</v>
      </c>
      <c r="F194" s="837"/>
      <c r="G194" s="257">
        <v>10.38</v>
      </c>
      <c r="H194" s="239">
        <v>1448</v>
      </c>
      <c r="I194" s="251">
        <v>13</v>
      </c>
      <c r="J194" s="178">
        <f>ROUND(M194+M194*R194,0)</f>
        <v>1173</v>
      </c>
      <c r="K194" s="4">
        <f>ROUND(J194-(J194*S194),0)</f>
        <v>1173</v>
      </c>
      <c r="L194" s="179">
        <f>M194*1.04</f>
        <v>1219.92</v>
      </c>
      <c r="M194" s="4">
        <f>ROUND(1117*1.05,0)</f>
        <v>1173</v>
      </c>
      <c r="N194" s="223">
        <f>ROUND(M194/1.2,2)</f>
        <v>977.5</v>
      </c>
      <c r="O194" s="304"/>
      <c r="P194" s="305">
        <v>774.58</v>
      </c>
      <c r="Q194" s="50">
        <v>870</v>
      </c>
    </row>
    <row r="195" spans="1:17" ht="16.5" thickBot="1">
      <c r="A195" s="630" t="s">
        <v>9</v>
      </c>
      <c r="B195" s="631"/>
      <c r="C195" s="631"/>
      <c r="D195" s="631"/>
      <c r="E195" s="631"/>
      <c r="F195" s="631"/>
      <c r="G195" s="631"/>
      <c r="H195" s="631"/>
      <c r="I195" s="631"/>
      <c r="J195" s="631"/>
      <c r="K195" s="631"/>
      <c r="L195" s="631"/>
      <c r="M195" s="631"/>
      <c r="N195" s="632"/>
      <c r="O195" s="374"/>
      <c r="P195" s="375">
        <v>0</v>
      </c>
      <c r="Q195" s="379"/>
    </row>
    <row r="196" spans="1:17" ht="15.75" thickBot="1">
      <c r="A196" s="657" t="s">
        <v>27</v>
      </c>
      <c r="B196" s="658"/>
      <c r="C196" s="658"/>
      <c r="D196" s="658"/>
      <c r="E196" s="658"/>
      <c r="F196" s="658"/>
      <c r="G196" s="658"/>
      <c r="H196" s="658"/>
      <c r="I196" s="658"/>
      <c r="J196" s="658"/>
      <c r="K196" s="658"/>
      <c r="L196" s="658"/>
      <c r="M196" s="658"/>
      <c r="N196" s="659"/>
      <c r="O196" s="374"/>
      <c r="P196" s="375">
        <v>0</v>
      </c>
      <c r="Q196" s="377"/>
    </row>
    <row r="197" spans="1:17" ht="45.75" thickBot="1">
      <c r="A197" s="653">
        <v>1</v>
      </c>
      <c r="B197" s="166"/>
      <c r="C197" s="164" t="s">
        <v>98</v>
      </c>
      <c r="D197" s="109" t="s">
        <v>113</v>
      </c>
      <c r="E197" s="869" t="s">
        <v>22</v>
      </c>
      <c r="F197" s="610">
        <v>160</v>
      </c>
      <c r="G197" s="839">
        <v>5</v>
      </c>
      <c r="H197" s="843">
        <v>1887</v>
      </c>
      <c r="I197" s="851">
        <v>10</v>
      </c>
      <c r="J197" s="85">
        <f>ROUND(M197+M197*R197,0)</f>
        <v>1790</v>
      </c>
      <c r="K197" s="86">
        <f>ROUND(J197-(J197*S197),0)</f>
        <v>1790</v>
      </c>
      <c r="L197" s="74">
        <f>M197*1.05</f>
        <v>1879.5</v>
      </c>
      <c r="M197" s="86">
        <f>ROUND(1705*1.05,0)</f>
        <v>1790</v>
      </c>
      <c r="N197" s="137">
        <f>ROUND(M197/1.2,2)</f>
        <v>1491.67</v>
      </c>
      <c r="O197" s="374"/>
      <c r="P197" s="375">
        <v>1266.0999999999999</v>
      </c>
      <c r="Q197" s="49">
        <v>1450</v>
      </c>
    </row>
    <row r="198" spans="1:17" ht="60.75" thickBot="1">
      <c r="A198" s="655"/>
      <c r="B198" s="167"/>
      <c r="C198" s="165" t="s">
        <v>87</v>
      </c>
      <c r="D198" s="98" t="s">
        <v>113</v>
      </c>
      <c r="E198" s="870"/>
      <c r="F198" s="596"/>
      <c r="G198" s="841"/>
      <c r="H198" s="845"/>
      <c r="I198" s="853"/>
      <c r="J198" s="93">
        <f>ROUND(M198+M198*R198,0)</f>
        <v>1790</v>
      </c>
      <c r="K198" s="230">
        <f>ROUND(J198-(J198*S198),0)</f>
        <v>1790</v>
      </c>
      <c r="L198" s="74">
        <f>M198*1.05</f>
        <v>1879.5</v>
      </c>
      <c r="M198" s="86">
        <f>ROUND(1705*1.05,0)</f>
        <v>1790</v>
      </c>
      <c r="N198" s="138">
        <f>ROUND(M198/1.2,2)</f>
        <v>1491.67</v>
      </c>
      <c r="O198" s="374"/>
      <c r="P198" s="375">
        <v>1266.0999999999999</v>
      </c>
      <c r="Q198" s="56">
        <v>1450</v>
      </c>
    </row>
    <row r="199" spans="1:17" ht="45.75" thickBot="1">
      <c r="A199" s="655"/>
      <c r="B199" s="167"/>
      <c r="C199" s="165" t="s">
        <v>85</v>
      </c>
      <c r="D199" s="98" t="s">
        <v>113</v>
      </c>
      <c r="E199" s="870"/>
      <c r="F199" s="596"/>
      <c r="G199" s="841"/>
      <c r="H199" s="845"/>
      <c r="I199" s="853"/>
      <c r="J199" s="93">
        <f>ROUND(M199+M199*R199,0)</f>
        <v>1790</v>
      </c>
      <c r="K199" s="230">
        <f>ROUND(J199-(J199*S199),0)</f>
        <v>1790</v>
      </c>
      <c r="L199" s="74">
        <f>M199*1.05</f>
        <v>1879.5</v>
      </c>
      <c r="M199" s="86">
        <f>ROUND(1705*1.05,0)</f>
        <v>1790</v>
      </c>
      <c r="N199" s="138">
        <f>ROUND(M199/1.2,2)</f>
        <v>1491.67</v>
      </c>
      <c r="O199" s="374"/>
      <c r="P199" s="375">
        <v>1266.0999999999999</v>
      </c>
      <c r="Q199" s="49">
        <v>1450</v>
      </c>
    </row>
    <row r="200" spans="1:17" ht="75.75" thickBot="1">
      <c r="A200" s="655"/>
      <c r="B200" s="249"/>
      <c r="C200" s="165" t="s">
        <v>83</v>
      </c>
      <c r="D200" s="98" t="s">
        <v>113</v>
      </c>
      <c r="E200" s="870"/>
      <c r="F200" s="596"/>
      <c r="G200" s="841"/>
      <c r="H200" s="845"/>
      <c r="I200" s="853"/>
      <c r="J200" s="93">
        <f>ROUND(M200+M200*R200,0)</f>
        <v>1790</v>
      </c>
      <c r="K200" s="230">
        <f>ROUND(J200-(J200*S200),0)</f>
        <v>1790</v>
      </c>
      <c r="L200" s="74">
        <f>M200*1.05</f>
        <v>1879.5</v>
      </c>
      <c r="M200" s="86">
        <f>ROUND(1705*1.05,0)</f>
        <v>1790</v>
      </c>
      <c r="N200" s="138">
        <f>ROUND(M200/1.2,2)</f>
        <v>1491.67</v>
      </c>
      <c r="O200" s="374"/>
      <c r="P200" s="375">
        <v>1266.0999999999999</v>
      </c>
      <c r="Q200" s="49">
        <v>1450</v>
      </c>
    </row>
    <row r="201" spans="1:17" ht="19.5" thickBot="1">
      <c r="A201" s="656"/>
      <c r="B201" s="257"/>
      <c r="C201" s="251" t="s">
        <v>6</v>
      </c>
      <c r="D201" s="100" t="s">
        <v>113</v>
      </c>
      <c r="E201" s="244" t="s">
        <v>26</v>
      </c>
      <c r="F201" s="597"/>
      <c r="G201" s="257">
        <v>4.8</v>
      </c>
      <c r="H201" s="239">
        <v>1818</v>
      </c>
      <c r="I201" s="251">
        <v>11</v>
      </c>
      <c r="J201" s="93">
        <f>ROUND(M201+M201*R201,0)</f>
        <v>2155</v>
      </c>
      <c r="K201" s="230">
        <f>J201*0.97</f>
        <v>2090.35</v>
      </c>
      <c r="L201" s="94">
        <f>M201*1.03</f>
        <v>2219.65</v>
      </c>
      <c r="M201" s="86">
        <f>ROUND(2052*1.05,0)</f>
        <v>2155</v>
      </c>
      <c r="N201" s="138">
        <f>ROUND(M201/1.2,2)</f>
        <v>1795.83</v>
      </c>
      <c r="O201" s="374"/>
      <c r="P201" s="375">
        <v>1423.73</v>
      </c>
      <c r="Q201" s="14">
        <v>1600</v>
      </c>
    </row>
    <row r="202" spans="1:17" ht="16.5" thickBot="1">
      <c r="A202" s="630" t="s">
        <v>1</v>
      </c>
      <c r="B202" s="631"/>
      <c r="C202" s="631"/>
      <c r="D202" s="631"/>
      <c r="E202" s="631"/>
      <c r="F202" s="631"/>
      <c r="G202" s="631"/>
      <c r="H202" s="631"/>
      <c r="I202" s="631"/>
      <c r="J202" s="631"/>
      <c r="K202" s="631"/>
      <c r="L202" s="631"/>
      <c r="M202" s="631"/>
      <c r="N202" s="632"/>
      <c r="O202" s="374"/>
      <c r="P202" s="375">
        <v>0</v>
      </c>
      <c r="Q202" s="379"/>
    </row>
    <row r="203" spans="1:17" ht="15.75" thickBot="1">
      <c r="A203" s="607" t="s">
        <v>31</v>
      </c>
      <c r="B203" s="608"/>
      <c r="C203" s="608"/>
      <c r="D203" s="608"/>
      <c r="E203" s="608"/>
      <c r="F203" s="608"/>
      <c r="G203" s="608"/>
      <c r="H203" s="608"/>
      <c r="I203" s="608"/>
      <c r="J203" s="608"/>
      <c r="K203" s="608"/>
      <c r="L203" s="608"/>
      <c r="M203" s="608"/>
      <c r="N203" s="609"/>
      <c r="O203" s="374"/>
      <c r="P203" s="375">
        <v>0</v>
      </c>
      <c r="Q203" s="380"/>
    </row>
    <row r="204" spans="1:17" ht="19.5" thickBot="1">
      <c r="A204" s="309">
        <v>1</v>
      </c>
      <c r="B204" s="310"/>
      <c r="C204" s="247" t="s">
        <v>6</v>
      </c>
      <c r="D204" s="109" t="s">
        <v>113</v>
      </c>
      <c r="E204" s="243" t="s">
        <v>19</v>
      </c>
      <c r="F204" s="322" t="s">
        <v>55</v>
      </c>
      <c r="G204" s="256">
        <v>8</v>
      </c>
      <c r="H204" s="237">
        <v>1702</v>
      </c>
      <c r="I204" s="248">
        <v>11</v>
      </c>
      <c r="J204" s="85">
        <f>ROUND(M204+M204*R204,0)</f>
        <v>1136</v>
      </c>
      <c r="K204" s="86">
        <f>J204*0.97</f>
        <v>1101.92</v>
      </c>
      <c r="L204" s="74">
        <f>M204*1.03</f>
        <v>1170.08</v>
      </c>
      <c r="M204" s="86">
        <f>ROUND(1082*1.05,0)</f>
        <v>1136</v>
      </c>
      <c r="N204" s="87">
        <f>ROUND(M204/1.2,2)</f>
        <v>946.67</v>
      </c>
      <c r="O204" s="374"/>
      <c r="P204" s="375">
        <v>751.69</v>
      </c>
      <c r="Q204" s="19">
        <v>845</v>
      </c>
    </row>
    <row r="205" spans="1:17" ht="16.5" thickBot="1">
      <c r="A205" s="630" t="s">
        <v>72</v>
      </c>
      <c r="B205" s="631"/>
      <c r="C205" s="631"/>
      <c r="D205" s="631"/>
      <c r="E205" s="631"/>
      <c r="F205" s="631"/>
      <c r="G205" s="631"/>
      <c r="H205" s="631"/>
      <c r="I205" s="631"/>
      <c r="J205" s="631"/>
      <c r="K205" s="631"/>
      <c r="L205" s="631"/>
      <c r="M205" s="631"/>
      <c r="N205" s="632"/>
      <c r="O205" s="374"/>
      <c r="P205" s="375">
        <v>0</v>
      </c>
      <c r="Q205" s="381"/>
    </row>
    <row r="206" spans="1:17" ht="15.75" thickBot="1">
      <c r="A206" s="657" t="s">
        <v>77</v>
      </c>
      <c r="B206" s="658"/>
      <c r="C206" s="658"/>
      <c r="D206" s="658"/>
      <c r="E206" s="658"/>
      <c r="F206" s="658"/>
      <c r="G206" s="658"/>
      <c r="H206" s="658"/>
      <c r="I206" s="658"/>
      <c r="J206" s="658"/>
      <c r="K206" s="658"/>
      <c r="L206" s="658"/>
      <c r="M206" s="658"/>
      <c r="N206" s="659"/>
      <c r="O206" s="374"/>
      <c r="P206" s="375">
        <v>0</v>
      </c>
      <c r="Q206" s="382"/>
    </row>
    <row r="207" spans="1:17" ht="18.75">
      <c r="A207" s="354">
        <v>1</v>
      </c>
      <c r="B207" s="353"/>
      <c r="C207" s="103" t="s">
        <v>73</v>
      </c>
      <c r="D207" s="109" t="s">
        <v>113</v>
      </c>
      <c r="E207" s="367" t="s">
        <v>74</v>
      </c>
      <c r="F207" s="387"/>
      <c r="G207" s="134">
        <v>120</v>
      </c>
      <c r="H207" s="110">
        <v>1260</v>
      </c>
      <c r="I207" s="103">
        <v>15</v>
      </c>
      <c r="J207" s="185">
        <v>66</v>
      </c>
      <c r="K207" s="59">
        <v>64</v>
      </c>
      <c r="L207" s="174">
        <f>M207*1.03</f>
        <v>61.800000000000004</v>
      </c>
      <c r="M207" s="173">
        <f>ROUND(57*1.05,0)</f>
        <v>60</v>
      </c>
      <c r="N207" s="389">
        <f>ROUND(M207/1.2,2)</f>
        <v>50</v>
      </c>
      <c r="O207" s="374"/>
      <c r="P207" s="375">
        <v>38.979999999999997</v>
      </c>
      <c r="Q207" s="241">
        <v>46</v>
      </c>
    </row>
    <row r="208" spans="1:17" ht="19.5" thickBot="1">
      <c r="A208" s="355">
        <v>2</v>
      </c>
      <c r="B208" s="160"/>
      <c r="C208" s="108" t="s">
        <v>75</v>
      </c>
      <c r="D208" s="100" t="s">
        <v>113</v>
      </c>
      <c r="E208" s="369" t="s">
        <v>74</v>
      </c>
      <c r="F208" s="388"/>
      <c r="G208" s="133">
        <v>120</v>
      </c>
      <c r="H208" s="107" t="s">
        <v>76</v>
      </c>
      <c r="I208" s="108">
        <v>22</v>
      </c>
      <c r="J208" s="186">
        <v>67</v>
      </c>
      <c r="K208" s="62">
        <v>65</v>
      </c>
      <c r="L208" s="4">
        <f>M208*1.03</f>
        <v>62.83</v>
      </c>
      <c r="M208" s="4">
        <v>61</v>
      </c>
      <c r="N208" s="390">
        <f>ROUND(M208/1.2,2)</f>
        <v>50.83</v>
      </c>
      <c r="O208" s="383"/>
      <c r="P208" s="384">
        <v>38.14</v>
      </c>
      <c r="Q208" s="242">
        <v>45</v>
      </c>
    </row>
    <row r="209" spans="1:17" ht="18.75">
      <c r="A209" s="66"/>
      <c r="B209" s="75"/>
      <c r="C209" s="75"/>
      <c r="D209" s="67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</row>
    <row r="210" spans="1:17" ht="15.75">
      <c r="A210" s="371"/>
      <c r="B210" s="370" t="s">
        <v>141</v>
      </c>
      <c r="C210" s="370"/>
      <c r="D210" s="370"/>
      <c r="E210" s="370"/>
      <c r="F210" s="370"/>
      <c r="G210" s="370"/>
      <c r="H210" s="370"/>
      <c r="I210" s="370"/>
      <c r="J210" s="370"/>
      <c r="K210" s="370"/>
      <c r="L210" s="370"/>
      <c r="M210" s="370"/>
      <c r="N210" s="370"/>
      <c r="O210" s="370"/>
      <c r="P210" s="370"/>
      <c r="Q210" s="372"/>
    </row>
  </sheetData>
  <mergeCells count="174">
    <mergeCell ref="A202:N202"/>
    <mergeCell ref="A203:N203"/>
    <mergeCell ref="A205:N205"/>
    <mergeCell ref="A206:N206"/>
    <mergeCell ref="A195:N195"/>
    <mergeCell ref="A196:N196"/>
    <mergeCell ref="A197:A201"/>
    <mergeCell ref="E197:E200"/>
    <mergeCell ref="F197:F201"/>
    <mergeCell ref="G197:G200"/>
    <mergeCell ref="H197:H200"/>
    <mergeCell ref="I197:I200"/>
    <mergeCell ref="C186:C188"/>
    <mergeCell ref="B189:B191"/>
    <mergeCell ref="C189:C191"/>
    <mergeCell ref="A192:N192"/>
    <mergeCell ref="A193:A194"/>
    <mergeCell ref="F193:F194"/>
    <mergeCell ref="A175:A176"/>
    <mergeCell ref="A177:N177"/>
    <mergeCell ref="A179:N179"/>
    <mergeCell ref="A180:A191"/>
    <mergeCell ref="B180:B182"/>
    <mergeCell ref="C180:C182"/>
    <mergeCell ref="E180:E191"/>
    <mergeCell ref="B183:B185"/>
    <mergeCell ref="C183:C185"/>
    <mergeCell ref="B186:B188"/>
    <mergeCell ref="A166:N166"/>
    <mergeCell ref="A167:A170"/>
    <mergeCell ref="F167:F170"/>
    <mergeCell ref="A172:Q172"/>
    <mergeCell ref="B173:D173"/>
    <mergeCell ref="A174:N174"/>
    <mergeCell ref="I149:I158"/>
    <mergeCell ref="A159:N159"/>
    <mergeCell ref="A160:A165"/>
    <mergeCell ref="E160:E165"/>
    <mergeCell ref="F160:F165"/>
    <mergeCell ref="G160:G165"/>
    <mergeCell ref="H160:H165"/>
    <mergeCell ref="I160:I165"/>
    <mergeCell ref="A141:N141"/>
    <mergeCell ref="A144:N144"/>
    <mergeCell ref="B145:D145"/>
    <mergeCell ref="A146:N146"/>
    <mergeCell ref="A148:N148"/>
    <mergeCell ref="A149:A158"/>
    <mergeCell ref="E149:E158"/>
    <mergeCell ref="F149:F158"/>
    <mergeCell ref="G149:G158"/>
    <mergeCell ref="H149:H158"/>
    <mergeCell ref="A127:N127"/>
    <mergeCell ref="E113:E114"/>
    <mergeCell ref="C115:C116"/>
    <mergeCell ref="E115:E116"/>
    <mergeCell ref="B117:B118"/>
    <mergeCell ref="C117:C118"/>
    <mergeCell ref="E117:E118"/>
    <mergeCell ref="A128:A140"/>
    <mergeCell ref="B128:B130"/>
    <mergeCell ref="C128:C130"/>
    <mergeCell ref="F128:F140"/>
    <mergeCell ref="B131:B132"/>
    <mergeCell ref="C131:C132"/>
    <mergeCell ref="B133:B134"/>
    <mergeCell ref="C133:C134"/>
    <mergeCell ref="C135:C136"/>
    <mergeCell ref="A106:A107"/>
    <mergeCell ref="E106:E107"/>
    <mergeCell ref="F106:F107"/>
    <mergeCell ref="A108:N108"/>
    <mergeCell ref="A109:A126"/>
    <mergeCell ref="B109:B111"/>
    <mergeCell ref="C109:C112"/>
    <mergeCell ref="E109:E111"/>
    <mergeCell ref="B113:B114"/>
    <mergeCell ref="C113:C114"/>
    <mergeCell ref="B119:B120"/>
    <mergeCell ref="C119:C120"/>
    <mergeCell ref="E119:E120"/>
    <mergeCell ref="C121:C122"/>
    <mergeCell ref="E121:E122"/>
    <mergeCell ref="A100:N100"/>
    <mergeCell ref="A101:A104"/>
    <mergeCell ref="E101:E104"/>
    <mergeCell ref="F101:F104"/>
    <mergeCell ref="A105:N105"/>
    <mergeCell ref="C86:C87"/>
    <mergeCell ref="C88:C89"/>
    <mergeCell ref="C90:C91"/>
    <mergeCell ref="C92:C93"/>
    <mergeCell ref="C94:C95"/>
    <mergeCell ref="C96:C97"/>
    <mergeCell ref="A63:N63"/>
    <mergeCell ref="A65:N65"/>
    <mergeCell ref="A66:A99"/>
    <mergeCell ref="B66:B67"/>
    <mergeCell ref="C66:C67"/>
    <mergeCell ref="D66:D67"/>
    <mergeCell ref="E66:E73"/>
    <mergeCell ref="B68:B69"/>
    <mergeCell ref="C68:C69"/>
    <mergeCell ref="D68:D69"/>
    <mergeCell ref="B70:B71"/>
    <mergeCell ref="C70:C71"/>
    <mergeCell ref="D70:D71"/>
    <mergeCell ref="C74:C75"/>
    <mergeCell ref="E74:E99"/>
    <mergeCell ref="C76:C77"/>
    <mergeCell ref="C78:C79"/>
    <mergeCell ref="C80:C81"/>
    <mergeCell ref="C82:C83"/>
    <mergeCell ref="C84:C85"/>
    <mergeCell ref="C98:C99"/>
    <mergeCell ref="A51:N51"/>
    <mergeCell ref="A52:A62"/>
    <mergeCell ref="E52:E55"/>
    <mergeCell ref="F52:F62"/>
    <mergeCell ref="E56:E59"/>
    <mergeCell ref="E60:E62"/>
    <mergeCell ref="A41:N41"/>
    <mergeCell ref="A42:A47"/>
    <mergeCell ref="E42:E47"/>
    <mergeCell ref="F42:F47"/>
    <mergeCell ref="A48:N48"/>
    <mergeCell ref="A49:A50"/>
    <mergeCell ref="E49:E50"/>
    <mergeCell ref="F49:F50"/>
    <mergeCell ref="A32:A36"/>
    <mergeCell ref="E32:E36"/>
    <mergeCell ref="F32:F36"/>
    <mergeCell ref="A37:N37"/>
    <mergeCell ref="A38:A40"/>
    <mergeCell ref="E38:E40"/>
    <mergeCell ref="F38:F40"/>
    <mergeCell ref="L28:L30"/>
    <mergeCell ref="M28:M30"/>
    <mergeCell ref="N28:N30"/>
    <mergeCell ref="P28:P30"/>
    <mergeCell ref="Q28:Q30"/>
    <mergeCell ref="A31:N31"/>
    <mergeCell ref="M19:M27"/>
    <mergeCell ref="N19:N27"/>
    <mergeCell ref="P19:P26"/>
    <mergeCell ref="Q19:Q26"/>
    <mergeCell ref="E24:E30"/>
    <mergeCell ref="G24:G30"/>
    <mergeCell ref="H24:H30"/>
    <mergeCell ref="I24:I30"/>
    <mergeCell ref="J28:J30"/>
    <mergeCell ref="K28:K30"/>
    <mergeCell ref="A17:N17"/>
    <mergeCell ref="A18:A30"/>
    <mergeCell ref="E18:E23"/>
    <mergeCell ref="F18:F30"/>
    <mergeCell ref="G18:G23"/>
    <mergeCell ref="H18:H23"/>
    <mergeCell ref="I18:I23"/>
    <mergeCell ref="J19:J27"/>
    <mergeCell ref="K19:K27"/>
    <mergeCell ref="L19:L27"/>
    <mergeCell ref="B10:D10"/>
    <mergeCell ref="A11:N11"/>
    <mergeCell ref="A12:N12"/>
    <mergeCell ref="A14:N14"/>
    <mergeCell ref="A15:A16"/>
    <mergeCell ref="E15:E16"/>
    <mergeCell ref="M4:P4"/>
    <mergeCell ref="M5:P5"/>
    <mergeCell ref="M6:P6"/>
    <mergeCell ref="M7:P7"/>
    <mergeCell ref="A8:J8"/>
    <mergeCell ref="A9:N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БРАЕР-2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Литейщикова Екатерина Николаевна</dc:creator>
  <cp:lastModifiedBy>юзер</cp:lastModifiedBy>
  <cp:lastPrinted>2023-03-31T05:01:43Z</cp:lastPrinted>
  <dcterms:created xsi:type="dcterms:W3CDTF">2013-11-15T06:29:05Z</dcterms:created>
  <dcterms:modified xsi:type="dcterms:W3CDTF">2023-03-31T05:08:44Z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000800c4d20000000000010290110207f7000400038000</vt:lpwstr>
  </property>
</Properties>
</file>