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юзер\Desktop\"/>
    </mc:Choice>
  </mc:AlternateContent>
  <bookViews>
    <workbookView xWindow="0" yWindow="0" windowWidth="28800" windowHeight="11430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БРАЕР-2'!$A$7:$T$235</definedName>
  </definedNames>
  <calcPr calcId="162913"/>
</workbook>
</file>

<file path=xl/calcChain.xml><?xml version="1.0" encoding="utf-8"?>
<calcChain xmlns="http://schemas.openxmlformats.org/spreadsheetml/2006/main">
  <c r="J131" i="4" l="1"/>
  <c r="J132" i="4"/>
  <c r="J133" i="4"/>
  <c r="J135" i="4"/>
  <c r="J136" i="4"/>
  <c r="J137" i="4"/>
  <c r="J138" i="4"/>
  <c r="R16" i="4" l="1"/>
  <c r="J13" i="6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21" i="4"/>
  <c r="R122" i="4"/>
  <c r="R123" i="4"/>
  <c r="R125" i="4"/>
  <c r="R128" i="4"/>
  <c r="R140" i="4"/>
  <c r="R141" i="4"/>
  <c r="R142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7" i="4"/>
  <c r="R160" i="4"/>
  <c r="R166" i="4"/>
  <c r="R170" i="4"/>
  <c r="R175" i="4"/>
  <c r="R177" i="4"/>
  <c r="R178" i="4"/>
  <c r="R179" i="4"/>
  <c r="R195" i="4"/>
  <c r="R196" i="4"/>
  <c r="R205" i="4"/>
  <c r="R207" i="4"/>
  <c r="R208" i="4"/>
  <c r="R209" i="4"/>
  <c r="R210" i="4"/>
  <c r="R211" i="4"/>
  <c r="R212" i="4"/>
  <c r="R220" i="4"/>
  <c r="R221" i="4"/>
  <c r="R224" i="4"/>
  <c r="R228" i="4"/>
  <c r="R231" i="4"/>
  <c r="R234" i="4"/>
  <c r="R235" i="4"/>
</calcChain>
</file>

<file path=xl/sharedStrings.xml><?xml version="1.0" encoding="utf-8"?>
<sst xmlns="http://schemas.openxmlformats.org/spreadsheetml/2006/main" count="755" uniqueCount="178">
  <si>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</si>
  <si>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</si>
  <si>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</si>
  <si>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</si>
  <si>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</si>
  <si>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</si>
  <si>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</si>
  <si>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</si>
  <si>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</si>
  <si>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</si>
  <si>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</si>
  <si>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</si>
  <si>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</si>
  <si>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</si>
  <si>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</si>
  <si>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</si>
  <si>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</si>
  <si>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</si>
  <si>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</si>
  <si>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</si>
  <si>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</si>
  <si>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</si>
  <si>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</si>
  <si>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</si>
  <si>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</si>
  <si>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</si>
  <si>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</si>
  <si>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</si>
  <si>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</si>
  <si>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</si>
  <si>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</si>
  <si>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</si>
  <si>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</si>
  <si>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</si>
  <si>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</si>
  <si>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</si>
  <si>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</si>
  <si>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</si>
  <si>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</si>
  <si>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</si>
  <si>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</si>
  <si>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</si>
  <si>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</si>
  <si>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</si>
  <si>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</si>
  <si>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</si>
  <si>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</si>
  <si>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</si>
  <si>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</si>
  <si>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</si>
  <si>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</si>
  <si>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</si>
  <si>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</si>
  <si>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</si>
  <si>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</si>
  <si>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</si>
  <si>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</si>
  <si>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</si>
  <si>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</si>
  <si>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</si>
  <si>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</si>
  <si>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</si>
  <si>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</si>
  <si>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</si>
  <si>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</si>
  <si>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</si>
  <si>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</si>
  <si>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</si>
  <si>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</si>
  <si>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</si>
  <si>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</si>
  <si>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</si>
  <si>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</si>
  <si>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</si>
  <si>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</si>
  <si>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</si>
  <si>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</si>
  <si>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</si>
  <si>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</si>
  <si>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</si>
  <si>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</si>
  <si>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</si>
  <si>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</si>
  <si>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</si>
  <si>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</si>
  <si>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</si>
  <si>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</si>
  <si>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</si>
  <si>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</si>
  <si>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</si>
  <si>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</si>
  <si>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</si>
  <si>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</si>
  <si>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</si>
  <si>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</si>
  <si>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</si>
  <si>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</si>
  <si>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</si>
  <si>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</si>
  <si>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</si>
  <si>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</si>
  <si>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</si>
  <si>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</si>
  <si>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</si>
  <si>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</si>
  <si>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</si>
  <si>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</si>
  <si>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</si>
  <si>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</si>
  <si>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</si>
  <si>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</si>
  <si>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</si>
  <si>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</si>
  <si>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</si>
  <si>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</si>
  <si>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</si>
  <si>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</si>
  <si>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</si>
  <si>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</si>
  <si>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</si>
  <si>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</si>
  <si>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</si>
  <si>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</si>
  <si>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</si>
  <si>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</si>
  <si>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</si>
  <si>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</si>
  <si>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</si>
  <si>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</si>
  <si>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</si>
  <si>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</si>
  <si>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</si>
  <si>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</si>
  <si>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</si>
  <si>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</si>
  <si>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</si>
  <si>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</si>
  <si>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</si>
  <si>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</si>
  <si>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</si>
  <si>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</si>
  <si>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</si>
  <si>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</si>
  <si>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</si>
  <si>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</si>
  <si>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</si>
  <si>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</si>
  <si>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</si>
  <si>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</si>
  <si>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</si>
  <si>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</si>
  <si>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</si>
  <si>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</si>
  <si>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</si>
  <si>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</si>
  <si>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Ригель</t>
  </si>
  <si>
    <t>320*80</t>
  </si>
  <si>
    <t>Классико Дуо</t>
  </si>
  <si>
    <t>115/172*115</t>
  </si>
  <si>
    <t xml:space="preserve">Сити
300х150
</t>
  </si>
  <si>
    <t>Color Mix
"Миндаль"</t>
  </si>
  <si>
    <t>Старый город "Ландхаус" 2.0</t>
  </si>
  <si>
    <t>Полисад</t>
  </si>
  <si>
    <t>100х250</t>
  </si>
  <si>
    <t>Прайс-лист ТП 2023 от 14.07.23</t>
  </si>
  <si>
    <r>
      <t>Кол-во на поддоне, м</t>
    </r>
    <r>
      <rPr>
        <b/>
        <vertAlign val="superscript"/>
        <sz val="16"/>
        <color indexed="8"/>
        <rFont val="Calibri"/>
        <family val="2"/>
        <charset val="204"/>
      </rPr>
      <t>2</t>
    </r>
  </si>
  <si>
    <r>
      <t>Стоп цена 1м</t>
    </r>
    <r>
      <rPr>
        <b/>
        <vertAlign val="superscript"/>
        <sz val="16"/>
        <color indexed="8"/>
        <rFont val="Calibri"/>
        <family val="2"/>
        <charset val="204"/>
      </rPr>
      <t>2</t>
    </r>
    <r>
      <rPr>
        <b/>
        <sz val="16"/>
        <color indexed="8"/>
        <rFont val="Calibri"/>
        <family val="2"/>
        <charset val="204"/>
      </rPr>
      <t>, 
(</t>
    </r>
    <r>
      <rPr>
        <b/>
        <sz val="16"/>
        <color indexed="10"/>
        <rFont val="Calibri"/>
        <family val="2"/>
        <charset val="204"/>
      </rPr>
      <t>с НДС, руб</t>
    </r>
    <r>
      <rPr>
        <b/>
        <sz val="16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</si>
  <si>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6"/>
        <color indexed="8"/>
        <rFont val="Calibri"/>
        <family val="2"/>
        <charset val="204"/>
      </rPr>
      <t>2</t>
    </r>
    <r>
      <rPr>
        <b/>
        <sz val="16"/>
        <color indexed="8"/>
        <rFont val="Calibri"/>
        <family val="2"/>
        <charset val="204"/>
      </rPr>
      <t>, до повышения цен
(</t>
    </r>
    <r>
      <rPr>
        <b/>
        <sz val="16"/>
        <color indexed="10"/>
        <rFont val="Calibri"/>
        <family val="2"/>
        <charset val="204"/>
      </rPr>
      <t>с НДС, руб</t>
    </r>
    <r>
      <rPr>
        <b/>
        <sz val="16"/>
        <color indexed="8"/>
        <rFont val="Calibri"/>
        <family val="2"/>
        <charset val="204"/>
      </rPr>
      <t>)</t>
    </r>
  </si>
  <si>
    <r>
      <rPr>
        <b/>
        <sz val="16"/>
        <color theme="1"/>
        <rFont val="Calibri"/>
        <family val="2"/>
        <charset val="204"/>
        <scheme val="minor"/>
      </rPr>
      <t>Классико круговая</t>
    </r>
    <r>
      <rPr>
        <sz val="16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</si>
  <si>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</si>
  <si>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Медовый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</si>
  <si>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</t>
    </r>
    <r>
      <rPr>
        <sz val="16"/>
        <color theme="1"/>
        <rFont val="Calibri"/>
        <family val="2"/>
        <charset val="204"/>
        <scheme val="minor"/>
      </rPr>
      <t>я
Песочный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</si>
  <si>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</si>
  <si>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</si>
  <si>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</si>
  <si>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"Туман"</t>
    </r>
  </si>
  <si>
    <r>
      <t>Стоп цена 1 п.м</t>
    </r>
    <r>
      <rPr>
        <b/>
        <sz val="16"/>
        <color indexed="8"/>
        <rFont val="Calibri"/>
        <family val="2"/>
        <charset val="204"/>
      </rPr>
      <t>, 
(</t>
    </r>
    <r>
      <rPr>
        <b/>
        <sz val="16"/>
        <color indexed="10"/>
        <rFont val="Calibri"/>
        <family val="2"/>
        <charset val="204"/>
      </rPr>
      <t>с НДС, руб</t>
    </r>
    <r>
      <rPr>
        <b/>
        <sz val="16"/>
        <color indexed="8"/>
        <rFont val="Calibri"/>
        <family val="2"/>
        <charset val="204"/>
      </rPr>
      <t>)</t>
    </r>
  </si>
  <si>
    <r>
      <t xml:space="preserve"> цена 1м</t>
    </r>
    <r>
      <rPr>
        <b/>
        <vertAlign val="superscript"/>
        <sz val="16"/>
        <color indexed="8"/>
        <rFont val="Calibri"/>
        <family val="2"/>
        <charset val="204"/>
      </rPr>
      <t>2</t>
    </r>
    <r>
      <rPr>
        <b/>
        <sz val="16"/>
        <color indexed="8"/>
        <rFont val="Calibri"/>
        <family val="2"/>
        <charset val="204"/>
      </rPr>
      <t xml:space="preserve">
(</t>
    </r>
    <r>
      <rPr>
        <b/>
        <sz val="16"/>
        <color indexed="10"/>
        <rFont val="Calibri"/>
        <family val="2"/>
        <charset val="204"/>
      </rPr>
      <t>с НДС, руб</t>
    </r>
    <r>
      <rPr>
        <b/>
        <sz val="16"/>
        <color indexed="8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</si>
</sst>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32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sz val="16"/>
      <color theme="1"/>
      <name val="Calibri"/>
      <family val="2"/>
      <charset val="204"/>
      <scheme val="minor"/>
    </font>
    <font>
      <b/>
      <vertAlign val="superscript"/>
      <sz val="16"/>
      <color indexed="8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000000"/>
      <name val="Segoe U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1162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9" fontId="6" fillId="0" borderId="0" xfId="2" applyNumberFormat="1" applyFont="1" applyProtection="1">
      <protection hidden="1"/>
    </xf>
    <xf numFmtId="0" fontId="0" fillId="5" borderId="0" xfId="0" applyFill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21" fillId="0" borderId="30" xfId="0" applyFont="1" applyBorder="1" applyAlignment="1" applyProtection="1">
      <alignment horizontal="left"/>
      <protection hidden="1"/>
    </xf>
    <xf numFmtId="0" fontId="23" fillId="0" borderId="0" xfId="0" applyFont="1" applyProtection="1">
      <protection hidden="1"/>
    </xf>
    <xf numFmtId="0" fontId="21" fillId="0" borderId="5" xfId="0" applyFont="1" applyBorder="1" applyAlignment="1" applyProtection="1">
      <alignment horizontal="center" vertical="center"/>
      <protection hidden="1"/>
    </xf>
    <xf numFmtId="0" fontId="21" fillId="0" borderId="7" xfId="0" applyFont="1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0" borderId="8" xfId="0" applyFont="1" applyBorder="1" applyAlignment="1" applyProtection="1">
      <alignment horizontal="center" vertical="center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21" fillId="0" borderId="4" xfId="0" applyFont="1" applyBorder="1" applyAlignment="1" applyProtection="1">
      <alignment horizontal="center" vertical="center" wrapText="1"/>
      <protection hidden="1"/>
    </xf>
    <xf numFmtId="0" fontId="21" fillId="10" borderId="7" xfId="0" applyFont="1" applyFill="1" applyBorder="1" applyAlignment="1" applyProtection="1">
      <alignment horizontal="center" vertical="center"/>
      <protection hidden="1"/>
    </xf>
    <xf numFmtId="0" fontId="21" fillId="10" borderId="4" xfId="0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Protection="1">
      <protection hidden="1"/>
    </xf>
    <xf numFmtId="2" fontId="23" fillId="0" borderId="0" xfId="2" applyNumberFormat="1" applyFont="1" applyAlignment="1" applyProtection="1">
      <alignment horizontal="center" vertical="center"/>
      <protection hidden="1"/>
    </xf>
    <xf numFmtId="0" fontId="21" fillId="5" borderId="30" xfId="0" applyFont="1" applyFill="1" applyBorder="1" applyAlignment="1" applyProtection="1">
      <protection hidden="1"/>
    </xf>
    <xf numFmtId="0" fontId="21" fillId="0" borderId="7" xfId="0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Protection="1">
      <protection hidden="1"/>
    </xf>
    <xf numFmtId="0" fontId="27" fillId="0" borderId="4" xfId="0" applyFont="1" applyFill="1" applyBorder="1" applyAlignment="1" applyProtection="1">
      <alignment vertical="center"/>
      <protection hidden="1"/>
    </xf>
    <xf numFmtId="0" fontId="21" fillId="3" borderId="5" xfId="0" applyFont="1" applyFill="1" applyBorder="1" applyAlignment="1" applyProtection="1">
      <alignment horizontal="center" vertical="center"/>
      <protection hidden="1"/>
    </xf>
    <xf numFmtId="0" fontId="23" fillId="11" borderId="4" xfId="0" applyFont="1" applyFill="1" applyBorder="1" applyAlignment="1" applyProtection="1">
      <alignment horizontal="center" vertical="center" wrapText="1"/>
      <protection hidden="1"/>
    </xf>
    <xf numFmtId="0" fontId="23" fillId="4" borderId="7" xfId="0" applyFont="1" applyFill="1" applyBorder="1" applyAlignment="1" applyProtection="1">
      <alignment horizontal="center" vertical="center" wrapText="1"/>
      <protection hidden="1"/>
    </xf>
    <xf numFmtId="0" fontId="21" fillId="4" borderId="5" xfId="0" applyFont="1" applyFill="1" applyBorder="1" applyAlignment="1" applyProtection="1">
      <alignment horizontal="center" vertical="center" wrapText="1"/>
      <protection hidden="1"/>
    </xf>
    <xf numFmtId="0" fontId="23" fillId="3" borderId="8" xfId="0" applyFont="1" applyFill="1" applyBorder="1" applyAlignment="1" applyProtection="1">
      <alignment horizontal="center" vertical="center"/>
      <protection hidden="1"/>
    </xf>
    <xf numFmtId="0" fontId="23" fillId="3" borderId="5" xfId="0" applyFont="1" applyFill="1" applyBorder="1" applyAlignment="1" applyProtection="1">
      <alignment horizontal="center" vertical="center"/>
      <protection hidden="1"/>
    </xf>
    <xf numFmtId="0" fontId="23" fillId="3" borderId="36" xfId="0" applyFont="1" applyFill="1" applyBorder="1" applyAlignment="1" applyProtection="1">
      <alignment horizontal="center" vertical="center"/>
      <protection hidden="1"/>
    </xf>
    <xf numFmtId="0" fontId="23" fillId="3" borderId="25" xfId="0" applyFont="1" applyFill="1" applyBorder="1" applyAlignment="1" applyProtection="1">
      <alignment horizontal="center" vertical="center"/>
      <protection hidden="1"/>
    </xf>
    <xf numFmtId="0" fontId="23" fillId="3" borderId="51" xfId="0" applyFont="1" applyFill="1" applyBorder="1" applyAlignment="1" applyProtection="1">
      <alignment horizontal="center" vertical="center"/>
      <protection hidden="1"/>
    </xf>
    <xf numFmtId="3" fontId="21" fillId="4" borderId="5" xfId="0" applyNumberFormat="1" applyFont="1" applyFill="1" applyBorder="1" applyAlignment="1" applyProtection="1">
      <alignment horizontal="center" vertical="center"/>
      <protection hidden="1"/>
    </xf>
    <xf numFmtId="3" fontId="21" fillId="4" borderId="4" xfId="0" applyNumberFormat="1" applyFont="1" applyFill="1" applyBorder="1" applyAlignment="1" applyProtection="1">
      <alignment horizontal="center" vertical="center"/>
      <protection hidden="1"/>
    </xf>
    <xf numFmtId="3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1" fillId="0" borderId="57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3" borderId="1" xfId="0" applyFont="1" applyFill="1" applyBorder="1" applyAlignment="1" applyProtection="1">
      <alignment horizontal="center" vertical="center"/>
      <protection hidden="1"/>
    </xf>
    <xf numFmtId="0" fontId="23" fillId="15" borderId="19" xfId="0" applyFont="1" applyFill="1" applyBorder="1" applyAlignment="1" applyProtection="1">
      <alignment horizontal="center" vertical="center" wrapText="1"/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 wrapText="1"/>
      <protection hidden="1"/>
    </xf>
    <xf numFmtId="0" fontId="23" fillId="3" borderId="28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20" xfId="0" applyFont="1" applyFill="1" applyBorder="1" applyAlignment="1" applyProtection="1">
      <alignment horizontal="center" vertical="center"/>
      <protection hidden="1"/>
    </xf>
    <xf numFmtId="3" fontId="21" fillId="4" borderId="1" xfId="0" applyNumberFormat="1" applyFont="1" applyFill="1" applyBorder="1" applyAlignment="1" applyProtection="1">
      <alignment horizontal="center" vertical="center"/>
      <protection hidden="1"/>
    </xf>
    <xf numFmtId="3" fontId="21" fillId="4" borderId="28" xfId="0" applyNumberFormat="1" applyFont="1" applyFill="1" applyBorder="1" applyAlignment="1" applyProtection="1">
      <alignment horizontal="center" vertical="center"/>
      <protection hidden="1"/>
    </xf>
    <xf numFmtId="1" fontId="21" fillId="4" borderId="5" xfId="0" applyNumberFormat="1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3" fillId="16" borderId="18" xfId="0" applyFont="1" applyFill="1" applyBorder="1" applyAlignment="1" applyProtection="1">
      <alignment horizontal="center" vertical="center" wrapText="1"/>
      <protection hidden="1"/>
    </xf>
    <xf numFmtId="0" fontId="23" fillId="4" borderId="18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23" fillId="3" borderId="29" xfId="0" applyFont="1" applyFill="1" applyBorder="1" applyAlignment="1" applyProtection="1">
      <alignment horizontal="center" vertical="center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22" xfId="0" applyFont="1" applyFill="1" applyBorder="1" applyAlignment="1" applyProtection="1">
      <alignment horizontal="center" vertical="center"/>
      <protection hidden="1"/>
    </xf>
    <xf numFmtId="3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3" borderId="40" xfId="0" applyFont="1" applyFill="1" applyBorder="1" applyAlignment="1" applyProtection="1">
      <alignment horizontal="center" vertical="center"/>
      <protection hidden="1"/>
    </xf>
    <xf numFmtId="0" fontId="28" fillId="8" borderId="1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3" fillId="3" borderId="75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23" fillId="3" borderId="72" xfId="0" applyFont="1" applyFill="1" applyBorder="1" applyAlignment="1" applyProtection="1">
      <alignment horizontal="center" vertical="center"/>
      <protection hidden="1"/>
    </xf>
    <xf numFmtId="0" fontId="23" fillId="3" borderId="82" xfId="0" applyFont="1" applyFill="1" applyBorder="1" applyAlignment="1" applyProtection="1">
      <alignment horizontal="center" vertical="center"/>
      <protection hidden="1"/>
    </xf>
    <xf numFmtId="0" fontId="23" fillId="3" borderId="79" xfId="0" applyFont="1" applyFill="1" applyBorder="1" applyAlignment="1" applyProtection="1">
      <alignment horizontal="center" vertical="center"/>
      <protection hidden="1"/>
    </xf>
    <xf numFmtId="3" fontId="21" fillId="4" borderId="40" xfId="0" applyNumberFormat="1" applyFont="1" applyFill="1" applyBorder="1" applyAlignment="1" applyProtection="1">
      <alignment horizontal="center" vertical="center"/>
      <protection hidden="1"/>
    </xf>
    <xf numFmtId="1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28" fillId="17" borderId="27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/>
      <protection hidden="1"/>
    </xf>
    <xf numFmtId="0" fontId="23" fillId="3" borderId="74" xfId="0" applyFont="1" applyFill="1" applyBorder="1" applyAlignment="1" applyProtection="1">
      <alignment horizontal="center" vertical="center" wrapText="1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3" fillId="3" borderId="73" xfId="0" applyFont="1" applyFill="1" applyBorder="1" applyAlignment="1" applyProtection="1">
      <alignment horizontal="center" vertical="center"/>
      <protection hidden="1"/>
    </xf>
    <xf numFmtId="0" fontId="23" fillId="3" borderId="77" xfId="0" applyFont="1" applyFill="1" applyBorder="1" applyAlignment="1" applyProtection="1">
      <alignment horizontal="center" vertical="center"/>
      <protection hidden="1"/>
    </xf>
    <xf numFmtId="0" fontId="23" fillId="3" borderId="80" xfId="0" applyFont="1" applyFill="1" applyBorder="1" applyAlignment="1" applyProtection="1">
      <alignment horizontal="center" vertical="center"/>
      <protection hidden="1"/>
    </xf>
    <xf numFmtId="1" fontId="21" fillId="4" borderId="40" xfId="0" applyNumberFormat="1" applyFont="1" applyFill="1" applyBorder="1" applyAlignment="1" applyProtection="1">
      <alignment horizontal="center" vertical="center"/>
      <protection hidden="1"/>
    </xf>
    <xf numFmtId="2" fontId="23" fillId="0" borderId="6" xfId="2" applyNumberFormat="1" applyFont="1" applyBorder="1" applyAlignment="1" applyProtection="1">
      <alignment horizontal="center" vertical="center"/>
      <protection hidden="1"/>
    </xf>
    <xf numFmtId="0" fontId="28" fillId="18" borderId="2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 wrapText="1"/>
      <protection hidden="1"/>
    </xf>
    <xf numFmtId="1" fontId="21" fillId="4" borderId="31" xfId="0" applyNumberFormat="1" applyFont="1" applyFill="1" applyBorder="1" applyAlignment="1" applyProtection="1">
      <alignment horizontal="center" vertical="center"/>
      <protection hidden="1"/>
    </xf>
    <xf numFmtId="0" fontId="28" fillId="9" borderId="2" xfId="0" applyFont="1" applyFill="1" applyBorder="1" applyAlignment="1" applyProtection="1">
      <alignment horizontal="center" vertical="center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/>
      <protection hidden="1"/>
    </xf>
    <xf numFmtId="0" fontId="28" fillId="12" borderId="2" xfId="0" applyFont="1" applyFill="1" applyBorder="1" applyAlignment="1" applyProtection="1">
      <alignment horizontal="center" vertical="center"/>
      <protection hidden="1"/>
    </xf>
    <xf numFmtId="0" fontId="28" fillId="13" borderId="2" xfId="0" applyFont="1" applyFill="1" applyBorder="1" applyAlignment="1" applyProtection="1">
      <alignment horizontal="center" vertical="center"/>
      <protection hidden="1"/>
    </xf>
    <xf numFmtId="0" fontId="23" fillId="3" borderId="89" xfId="0" applyFont="1" applyFill="1" applyBorder="1" applyAlignment="1" applyProtection="1">
      <alignment horizontal="center" vertical="center" wrapText="1"/>
      <protection hidden="1"/>
    </xf>
    <xf numFmtId="0" fontId="23" fillId="3" borderId="90" xfId="0" applyFont="1" applyFill="1" applyBorder="1" applyAlignment="1" applyProtection="1">
      <alignment horizontal="center" vertical="center"/>
      <protection hidden="1"/>
    </xf>
    <xf numFmtId="0" fontId="23" fillId="3" borderId="91" xfId="0" applyFont="1" applyFill="1" applyBorder="1" applyAlignment="1" applyProtection="1">
      <alignment horizontal="center" vertical="center"/>
      <protection hidden="1"/>
    </xf>
    <xf numFmtId="0" fontId="23" fillId="3" borderId="92" xfId="0" applyFont="1" applyFill="1" applyBorder="1" applyAlignment="1" applyProtection="1">
      <alignment horizontal="center" vertical="center"/>
      <protection hidden="1"/>
    </xf>
    <xf numFmtId="0" fontId="28" fillId="10" borderId="2" xfId="0" applyFont="1" applyFill="1" applyBorder="1" applyAlignment="1" applyProtection="1">
      <alignment horizontal="center" vertical="center"/>
      <protection hidden="1"/>
    </xf>
    <xf numFmtId="0" fontId="28" fillId="14" borderId="2" xfId="0" applyFont="1" applyFill="1" applyBorder="1" applyAlignment="1" applyProtection="1">
      <alignment horizontal="center" vertical="center"/>
      <protection hidden="1"/>
    </xf>
    <xf numFmtId="1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8" fillId="16" borderId="3" xfId="0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center" vertical="center"/>
      <protection hidden="1"/>
    </xf>
    <xf numFmtId="0" fontId="21" fillId="4" borderId="3" xfId="0" applyFont="1" applyFill="1" applyBorder="1" applyAlignment="1" applyProtection="1">
      <alignment horizontal="center" vertical="center"/>
      <protection hidden="1"/>
    </xf>
    <xf numFmtId="1" fontId="21" fillId="3" borderId="9" xfId="0" applyNumberFormat="1" applyFont="1" applyFill="1" applyBorder="1" applyAlignment="1" applyProtection="1">
      <alignment horizontal="center" vertical="center"/>
      <protection hidden="1"/>
    </xf>
    <xf numFmtId="0" fontId="28" fillId="14" borderId="1" xfId="0" applyFont="1" applyFill="1" applyBorder="1" applyAlignment="1" applyProtection="1">
      <alignment horizontal="center" vertical="center"/>
      <protection hidden="1"/>
    </xf>
    <xf numFmtId="0" fontId="23" fillId="4" borderId="28" xfId="0" applyFont="1" applyFill="1" applyBorder="1" applyAlignment="1" applyProtection="1">
      <alignment horizontal="center" vertical="center" wrapText="1"/>
      <protection hidden="1"/>
    </xf>
    <xf numFmtId="0" fontId="28" fillId="16" borderId="2" xfId="0" applyFont="1" applyFill="1" applyBorder="1" applyAlignment="1" applyProtection="1">
      <alignment horizontal="center" vertical="center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21" fillId="3" borderId="9" xfId="0" applyFont="1" applyFill="1" applyBorder="1" applyAlignment="1" applyProtection="1">
      <alignment horizontal="center" vertical="center"/>
      <protection hidden="1"/>
    </xf>
    <xf numFmtId="0" fontId="28" fillId="4" borderId="3" xfId="0" applyFont="1" applyFill="1" applyBorder="1" applyAlignment="1" applyProtection="1">
      <alignment horizontal="center" vertical="center"/>
      <protection hidden="1"/>
    </xf>
    <xf numFmtId="0" fontId="23" fillId="4" borderId="29" xfId="0" applyFont="1" applyFill="1" applyBorder="1" applyAlignment="1" applyProtection="1">
      <alignment horizontal="center" vertical="center" wrapText="1"/>
      <protection hidden="1"/>
    </xf>
    <xf numFmtId="0" fontId="23" fillId="3" borderId="76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23" fillId="3" borderId="83" xfId="0" applyFont="1" applyFill="1" applyBorder="1" applyAlignment="1" applyProtection="1">
      <alignment horizontal="center" vertical="center"/>
      <protection hidden="1"/>
    </xf>
    <xf numFmtId="0" fontId="23" fillId="3" borderId="78" xfId="0" applyFont="1" applyFill="1" applyBorder="1" applyAlignment="1" applyProtection="1">
      <alignment horizontal="center" vertical="center"/>
      <protection hidden="1"/>
    </xf>
    <xf numFmtId="0" fontId="23" fillId="3" borderId="81" xfId="0" applyFont="1" applyFill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center" vertical="center"/>
      <protection hidden="1"/>
    </xf>
    <xf numFmtId="0" fontId="21" fillId="5" borderId="4" xfId="0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Border="1" applyAlignment="1" applyProtection="1">
      <alignment horizontal="center" vertical="center"/>
      <protection hidden="1"/>
    </xf>
    <xf numFmtId="1" fontId="21" fillId="4" borderId="30" xfId="0" applyNumberFormat="1" applyFont="1" applyFill="1" applyBorder="1" applyAlignment="1" applyProtection="1">
      <alignment horizontal="center" vertical="center"/>
      <protection hidden="1"/>
    </xf>
    <xf numFmtId="0" fontId="21" fillId="3" borderId="41" xfId="0" applyFont="1" applyFill="1" applyBorder="1" applyAlignment="1" applyProtection="1">
      <alignment horizontal="center" vertical="center"/>
      <protection hidden="1"/>
    </xf>
    <xf numFmtId="0" fontId="28" fillId="4" borderId="5" xfId="0" applyFont="1" applyFill="1" applyBorder="1" applyAlignment="1" applyProtection="1">
      <alignment horizontal="center" vertical="center"/>
      <protection hidden="1"/>
    </xf>
    <xf numFmtId="0" fontId="23" fillId="3" borderId="40" xfId="0" applyFont="1" applyFill="1" applyBorder="1" applyAlignment="1" applyProtection="1">
      <alignment horizontal="center" vertical="center" wrapText="1"/>
      <protection hidden="1"/>
    </xf>
    <xf numFmtId="0" fontId="23" fillId="3" borderId="40" xfId="0" applyFont="1" applyFill="1" applyBorder="1" applyAlignment="1" applyProtection="1">
      <alignment horizontal="center" vertical="center"/>
      <protection hidden="1"/>
    </xf>
    <xf numFmtId="0" fontId="23" fillId="3" borderId="67" xfId="0" applyFont="1" applyFill="1" applyBorder="1" applyAlignment="1" applyProtection="1">
      <alignment horizontal="center" vertical="center"/>
      <protection hidden="1"/>
    </xf>
    <xf numFmtId="0" fontId="23" fillId="3" borderId="66" xfId="0" applyFont="1" applyFill="1" applyBorder="1" applyAlignment="1" applyProtection="1">
      <alignment horizontal="center" vertical="center"/>
      <protection hidden="1"/>
    </xf>
    <xf numFmtId="0" fontId="23" fillId="3" borderId="70" xfId="0" applyFont="1" applyFill="1" applyBorder="1" applyAlignment="1" applyProtection="1">
      <alignment horizontal="center" vertical="center"/>
      <protection hidden="1"/>
    </xf>
    <xf numFmtId="0" fontId="21" fillId="3" borderId="57" xfId="0" applyFont="1" applyFill="1" applyBorder="1" applyAlignment="1" applyProtection="1">
      <alignment horizontal="center" vertical="center"/>
      <protection hidden="1"/>
    </xf>
    <xf numFmtId="0" fontId="28" fillId="4" borderId="9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3" borderId="31" xfId="0" applyFont="1" applyFill="1" applyBorder="1" applyAlignment="1" applyProtection="1">
      <alignment horizontal="center" vertical="center" wrapText="1"/>
      <protection hidden="1"/>
    </xf>
    <xf numFmtId="0" fontId="23" fillId="3" borderId="31" xfId="0" applyFont="1" applyFill="1" applyBorder="1" applyAlignment="1" applyProtection="1">
      <alignment horizontal="center" vertical="center"/>
      <protection hidden="1"/>
    </xf>
    <xf numFmtId="0" fontId="23" fillId="3" borderId="68" xfId="0" applyFont="1" applyFill="1" applyBorder="1" applyAlignment="1" applyProtection="1">
      <alignment horizontal="center" vertical="center"/>
      <protection hidden="1"/>
    </xf>
    <xf numFmtId="0" fontId="23" fillId="3" borderId="60" xfId="0" applyFont="1" applyFill="1" applyBorder="1" applyAlignment="1" applyProtection="1">
      <alignment horizontal="center" vertical="center"/>
      <protection hidden="1"/>
    </xf>
    <xf numFmtId="0" fontId="23" fillId="3" borderId="71" xfId="0" applyFont="1" applyFill="1" applyBorder="1" applyAlignment="1" applyProtection="1">
      <alignment horizontal="center" vertical="center"/>
      <protection hidden="1"/>
    </xf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 vertical="center"/>
      <protection hidden="1"/>
    </xf>
    <xf numFmtId="0" fontId="23" fillId="3" borderId="69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1" fillId="5" borderId="4" xfId="0" applyFont="1" applyFill="1" applyBorder="1" applyAlignment="1" applyProtection="1">
      <alignment vertical="center"/>
      <protection hidden="1"/>
    </xf>
    <xf numFmtId="0" fontId="21" fillId="19" borderId="15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/>
      <protection hidden="1"/>
    </xf>
    <xf numFmtId="0" fontId="21" fillId="4" borderId="40" xfId="0" applyFont="1" applyFill="1" applyBorder="1" applyAlignment="1" applyProtection="1">
      <alignment horizontal="center" vertical="center" wrapText="1"/>
      <protection hidden="1"/>
    </xf>
    <xf numFmtId="0" fontId="21" fillId="5" borderId="0" xfId="0" applyFont="1" applyFill="1" applyBorder="1" applyAlignment="1" applyProtection="1">
      <alignment vertical="center"/>
      <protection hidden="1"/>
    </xf>
    <xf numFmtId="0" fontId="23" fillId="20" borderId="28" xfId="0" applyFont="1" applyFill="1" applyBorder="1" applyProtection="1">
      <protection hidden="1"/>
    </xf>
    <xf numFmtId="0" fontId="23" fillId="3" borderId="6" xfId="0" applyFont="1" applyFill="1" applyBorder="1" applyAlignment="1" applyProtection="1">
      <alignment horizontal="center" vertical="center" wrapText="1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1" fontId="21" fillId="4" borderId="2" xfId="0" applyNumberFormat="1" applyFont="1" applyFill="1" applyBorder="1" applyAlignment="1" applyProtection="1">
      <alignment horizontal="center" vertical="center"/>
      <protection hidden="1"/>
    </xf>
    <xf numFmtId="0" fontId="23" fillId="4" borderId="32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3" fontId="21" fillId="4" borderId="2" xfId="0" applyNumberFormat="1" applyFont="1" applyFill="1" applyBorder="1" applyAlignment="1" applyProtection="1">
      <alignment horizontal="center" vertical="center"/>
      <protection hidden="1"/>
    </xf>
    <xf numFmtId="3" fontId="21" fillId="4" borderId="21" xfId="0" applyNumberFormat="1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20" borderId="29" xfId="0" applyFont="1" applyFill="1" applyBorder="1" applyAlignment="1" applyProtection="1">
      <alignment horizontal="center" vertical="center"/>
      <protection hidden="1"/>
    </xf>
    <xf numFmtId="0" fontId="23" fillId="3" borderId="34" xfId="0" applyFont="1" applyFill="1" applyBorder="1" applyAlignment="1" applyProtection="1">
      <alignment horizontal="center" vertical="center" wrapText="1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horizontal="center" vertical="center"/>
      <protection hidden="1"/>
    </xf>
    <xf numFmtId="0" fontId="21" fillId="5" borderId="15" xfId="0" applyFont="1" applyFill="1" applyBorder="1" applyAlignment="1" applyProtection="1">
      <alignment vertical="center"/>
      <protection hidden="1"/>
    </xf>
    <xf numFmtId="0" fontId="23" fillId="15" borderId="28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 wrapText="1"/>
      <protection hidden="1"/>
    </xf>
    <xf numFmtId="0" fontId="23" fillId="3" borderId="64" xfId="0" applyFont="1" applyFill="1" applyBorder="1" applyAlignment="1" applyProtection="1">
      <alignment horizontal="center" vertical="center"/>
      <protection hidden="1"/>
    </xf>
    <xf numFmtId="1" fontId="21" fillId="3" borderId="1" xfId="0" applyNumberFormat="1" applyFont="1" applyFill="1" applyBorder="1" applyAlignment="1" applyProtection="1">
      <alignment horizontal="center" vertical="center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29" fillId="12" borderId="21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 wrapText="1"/>
      <protection hidden="1"/>
    </xf>
    <xf numFmtId="0" fontId="23" fillId="13" borderId="29" xfId="0" applyFont="1" applyFill="1" applyBorder="1" applyAlignment="1" applyProtection="1">
      <alignment horizontal="center" vertical="center"/>
      <protection hidden="1"/>
    </xf>
    <xf numFmtId="0" fontId="29" fillId="19" borderId="40" xfId="0" applyFont="1" applyFill="1" applyBorder="1" applyAlignment="1" applyProtection="1">
      <alignment horizontal="center" vertical="center"/>
      <protection hidden="1"/>
    </xf>
    <xf numFmtId="164" fontId="23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8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1" xfId="0" applyNumberFormat="1" applyFont="1" applyFill="1" applyBorder="1" applyAlignment="1" applyProtection="1">
      <alignment horizontal="center" vertical="center"/>
      <protection hidden="1"/>
    </xf>
    <xf numFmtId="164" fontId="23" fillId="3" borderId="36" xfId="0" applyNumberFormat="1" applyFont="1" applyFill="1" applyBorder="1" applyAlignment="1" applyProtection="1">
      <alignment horizontal="center" vertical="center"/>
      <protection hidden="1"/>
    </xf>
    <xf numFmtId="3" fontId="23" fillId="3" borderId="25" xfId="0" applyNumberFormat="1" applyFont="1" applyFill="1" applyBorder="1" applyAlignment="1" applyProtection="1">
      <alignment horizontal="center" vertical="center"/>
      <protection hidden="1"/>
    </xf>
    <xf numFmtId="3" fontId="23" fillId="3" borderId="51" xfId="0" applyNumberFormat="1" applyFont="1" applyFill="1" applyBorder="1" applyAlignment="1" applyProtection="1">
      <alignment horizontal="center" vertical="center"/>
      <protection hidden="1"/>
    </xf>
    <xf numFmtId="3" fontId="21" fillId="3" borderId="1" xfId="0" applyNumberFormat="1" applyFont="1" applyFill="1" applyBorder="1" applyAlignment="1" applyProtection="1">
      <alignment horizontal="center" vertical="center"/>
      <protection hidden="1"/>
    </xf>
    <xf numFmtId="0" fontId="23" fillId="5" borderId="5" xfId="0" applyFont="1" applyFill="1" applyBorder="1" applyAlignment="1" applyProtection="1">
      <alignment horizontal="center" vertical="center"/>
      <protection hidden="1"/>
    </xf>
    <xf numFmtId="164" fontId="21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1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" xfId="0" applyNumberFormat="1" applyFont="1" applyFill="1" applyBorder="1" applyAlignment="1" applyProtection="1">
      <alignment horizontal="center" vertical="center"/>
      <protection hidden="1"/>
    </xf>
    <xf numFmtId="3" fontId="21" fillId="3" borderId="27" xfId="0" applyNumberFormat="1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/>
      <protection hidden="1"/>
    </xf>
    <xf numFmtId="164" fontId="2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9" xfId="0" applyNumberFormat="1" applyFont="1" applyFill="1" applyBorder="1" applyAlignment="1" applyProtection="1">
      <alignment horizontal="center" vertical="center"/>
      <protection hidden="1"/>
    </xf>
    <xf numFmtId="3" fontId="23" fillId="3" borderId="16" xfId="0" applyNumberFormat="1" applyFont="1" applyFill="1" applyBorder="1" applyAlignment="1" applyProtection="1">
      <alignment horizontal="center" vertical="center"/>
      <protection hidden="1"/>
    </xf>
    <xf numFmtId="3" fontId="23" fillId="3" borderId="17" xfId="0" applyNumberFormat="1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164" fontId="23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7" xfId="0" applyNumberFormat="1" applyFont="1" applyFill="1" applyBorder="1" applyAlignment="1" applyProtection="1">
      <alignment horizontal="center" vertical="center"/>
      <protection hidden="1"/>
    </xf>
    <xf numFmtId="3" fontId="23" fillId="3" borderId="10" xfId="0" applyNumberFormat="1" applyFont="1" applyFill="1" applyBorder="1" applyAlignment="1" applyProtection="1">
      <alignment horizontal="center" vertical="center"/>
      <protection hidden="1"/>
    </xf>
    <xf numFmtId="3" fontId="23" fillId="3" borderId="11" xfId="0" applyNumberFormat="1" applyFont="1" applyFill="1" applyBorder="1" applyAlignment="1" applyProtection="1">
      <alignment horizontal="center" vertical="center"/>
      <protection hidden="1"/>
    </xf>
    <xf numFmtId="0" fontId="23" fillId="16" borderId="2" xfId="0" applyFont="1" applyFill="1" applyBorder="1" applyAlignment="1" applyProtection="1">
      <alignment horizontal="center" vertical="center"/>
      <protection hidden="1"/>
    </xf>
    <xf numFmtId="0" fontId="23" fillId="19" borderId="3" xfId="0" applyFont="1" applyFill="1" applyBorder="1" applyAlignment="1" applyProtection="1">
      <alignment horizontal="center" vertical="center"/>
      <protection hidden="1"/>
    </xf>
    <xf numFmtId="164" fontId="23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3" xfId="0" applyNumberFormat="1" applyFont="1" applyFill="1" applyBorder="1" applyAlignment="1" applyProtection="1">
      <alignment horizontal="center" vertical="center"/>
      <protection hidden="1"/>
    </xf>
    <xf numFmtId="164" fontId="23" fillId="3" borderId="38" xfId="0" applyNumberFormat="1" applyFont="1" applyFill="1" applyBorder="1" applyAlignment="1" applyProtection="1">
      <alignment horizontal="center" vertical="center"/>
      <protection hidden="1"/>
    </xf>
    <xf numFmtId="3" fontId="23" fillId="3" borderId="13" xfId="0" applyNumberFormat="1" applyFont="1" applyFill="1" applyBorder="1" applyAlignment="1" applyProtection="1">
      <alignment horizontal="center" vertical="center"/>
      <protection hidden="1"/>
    </xf>
    <xf numFmtId="3" fontId="23" fillId="3" borderId="14" xfId="0" applyNumberFormat="1" applyFont="1" applyFill="1" applyBorder="1" applyAlignment="1" applyProtection="1">
      <alignment horizontal="center" vertical="center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164" fontId="23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19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0" xfId="0" applyNumberFormat="1" applyFont="1" applyFill="1" applyBorder="1" applyAlignment="1" applyProtection="1">
      <alignment horizontal="center" vertical="center"/>
      <protection hidden="1"/>
    </xf>
    <xf numFmtId="0" fontId="23" fillId="21" borderId="33" xfId="0" applyFont="1" applyFill="1" applyBorder="1" applyAlignment="1" applyProtection="1">
      <alignment horizontal="center" vertical="center"/>
      <protection hidden="1"/>
    </xf>
    <xf numFmtId="164" fontId="23" fillId="4" borderId="18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8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18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2" xfId="0" applyNumberFormat="1" applyFont="1" applyFill="1" applyBorder="1" applyAlignment="1" applyProtection="1">
      <alignment horizontal="center" vertical="center"/>
      <protection hidden="1"/>
    </xf>
    <xf numFmtId="3" fontId="21" fillId="4" borderId="30" xfId="0" applyNumberFormat="1" applyFont="1" applyFill="1" applyBorder="1" applyAlignment="1" applyProtection="1">
      <alignment horizontal="center" vertical="center"/>
      <protection hidden="1"/>
    </xf>
    <xf numFmtId="3" fontId="21" fillId="4" borderId="23" xfId="0" applyNumberFormat="1" applyFont="1" applyFill="1" applyBorder="1" applyAlignment="1" applyProtection="1">
      <alignment horizontal="center" vertical="center"/>
      <protection hidden="1"/>
    </xf>
    <xf numFmtId="0" fontId="21" fillId="22" borderId="7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/>
      <protection hidden="1"/>
    </xf>
    <xf numFmtId="0" fontId="21" fillId="4" borderId="8" xfId="0" applyFont="1" applyFill="1" applyBorder="1" applyAlignment="1" applyProtection="1">
      <alignment horizontal="center" vertical="center"/>
      <protection hidden="1"/>
    </xf>
    <xf numFmtId="164" fontId="23" fillId="3" borderId="74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41" xfId="0" applyNumberFormat="1" applyFont="1" applyFill="1" applyBorder="1" applyAlignment="1" applyProtection="1">
      <alignment horizontal="center" vertical="center"/>
      <protection hidden="1"/>
    </xf>
    <xf numFmtId="164" fontId="23" fillId="3" borderId="64" xfId="0" applyNumberFormat="1" applyFont="1" applyFill="1" applyBorder="1" applyAlignment="1" applyProtection="1">
      <alignment horizontal="center" vertical="center"/>
      <protection hidden="1"/>
    </xf>
    <xf numFmtId="3" fontId="23" fillId="3" borderId="26" xfId="0" applyNumberFormat="1" applyFont="1" applyFill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center" vertical="center"/>
      <protection hidden="1"/>
    </xf>
    <xf numFmtId="3" fontId="23" fillId="3" borderId="57" xfId="0" applyNumberFormat="1" applyFont="1" applyFill="1" applyBorder="1" applyAlignment="1" applyProtection="1">
      <alignment horizontal="center" vertical="center"/>
      <protection hidden="1"/>
    </xf>
    <xf numFmtId="3" fontId="21" fillId="3" borderId="2" xfId="0" applyNumberFormat="1" applyFont="1" applyFill="1" applyBorder="1" applyAlignment="1" applyProtection="1">
      <alignment horizontal="center" vertical="center"/>
      <protection hidden="1"/>
    </xf>
    <xf numFmtId="0" fontId="21" fillId="16" borderId="19" xfId="0" applyFont="1" applyFill="1" applyBorder="1" applyAlignment="1" applyProtection="1">
      <alignment horizontal="center" vertical="center"/>
      <protection hidden="1"/>
    </xf>
    <xf numFmtId="164" fontId="23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/>
      <protection hidden="1"/>
    </xf>
    <xf numFmtId="164" fontId="23" fillId="3" borderId="93" xfId="0" applyNumberFormat="1" applyFont="1" applyFill="1" applyBorder="1" applyAlignment="1" applyProtection="1">
      <alignment horizontal="center" vertical="center"/>
      <protection hidden="1"/>
    </xf>
    <xf numFmtId="3" fontId="23" fillId="3" borderId="52" xfId="0" applyNumberFormat="1" applyFont="1" applyFill="1" applyBorder="1" applyAlignment="1" applyProtection="1">
      <alignment horizontal="center" vertical="center"/>
      <protection hidden="1"/>
    </xf>
    <xf numFmtId="3" fontId="23" fillId="3" borderId="53" xfId="0" applyNumberFormat="1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47" xfId="0" applyFont="1" applyFill="1" applyBorder="1" applyAlignment="1" applyProtection="1">
      <alignment horizontal="center" vertical="center"/>
      <protection hidden="1"/>
    </xf>
    <xf numFmtId="164" fontId="23" fillId="3" borderId="88" xfId="0" applyNumberFormat="1" applyFont="1" applyFill="1" applyBorder="1" applyAlignment="1" applyProtection="1">
      <alignment horizontal="center" vertical="center"/>
      <protection hidden="1"/>
    </xf>
    <xf numFmtId="0" fontId="30" fillId="23" borderId="32" xfId="0" applyFont="1" applyFill="1" applyBorder="1" applyAlignment="1" applyProtection="1">
      <alignment horizontal="center" vertical="center"/>
      <protection hidden="1"/>
    </xf>
    <xf numFmtId="0" fontId="21" fillId="4" borderId="18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18" borderId="3" xfId="0" applyFont="1" applyFill="1" applyBorder="1" applyAlignment="1" applyProtection="1">
      <alignment horizontal="center" vertical="center"/>
      <protection hidden="1"/>
    </xf>
    <xf numFmtId="164" fontId="23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33" xfId="0" applyNumberFormat="1" applyFont="1" applyFill="1" applyBorder="1" applyAlignment="1" applyProtection="1">
      <alignment horizontal="center" vertical="center"/>
      <protection hidden="1"/>
    </xf>
    <xf numFmtId="164" fontId="23" fillId="3" borderId="86" xfId="0" applyNumberFormat="1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vertical="center"/>
      <protection hidden="1"/>
    </xf>
    <xf numFmtId="0" fontId="21" fillId="3" borderId="7" xfId="0" applyFont="1" applyFill="1" applyBorder="1" applyAlignment="1" applyProtection="1">
      <alignment horizontal="center" vertical="center"/>
      <protection hidden="1"/>
    </xf>
    <xf numFmtId="0" fontId="21" fillId="18" borderId="5" xfId="0" applyFont="1" applyFill="1" applyBorder="1" applyAlignment="1" applyProtection="1">
      <alignment horizontal="center" vertical="center"/>
      <protection hidden="1"/>
    </xf>
    <xf numFmtId="0" fontId="23" fillId="4" borderId="4" xfId="0" applyFont="1" applyFill="1" applyBorder="1" applyAlignment="1" applyProtection="1">
      <alignment horizontal="center" vertical="center"/>
      <protection hidden="1"/>
    </xf>
    <xf numFmtId="0" fontId="21" fillId="4" borderId="5" xfId="0" applyFont="1" applyFill="1" applyBorder="1" applyAlignment="1" applyProtection="1">
      <alignment horizontal="center" vertical="center"/>
      <protection hidden="1"/>
    </xf>
    <xf numFmtId="0" fontId="26" fillId="3" borderId="5" xfId="1" applyFont="1" applyFill="1" applyBorder="1" applyAlignment="1" applyProtection="1">
      <alignment horizontal="center" vertical="center"/>
      <protection hidden="1"/>
    </xf>
    <xf numFmtId="0" fontId="23" fillId="3" borderId="26" xfId="0" applyFont="1" applyFill="1" applyBorder="1" applyAlignment="1" applyProtection="1">
      <alignment horizontal="center" vertical="center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3" fillId="3" borderId="46" xfId="0" applyFont="1" applyFill="1" applyBorder="1" applyAlignment="1" applyProtection="1">
      <alignment horizontal="center" vertical="center" wrapText="1"/>
      <protection hidden="1"/>
    </xf>
    <xf numFmtId="1" fontId="21" fillId="4" borderId="1" xfId="0" applyNumberFormat="1" applyFont="1" applyFill="1" applyBorder="1" applyAlignment="1" applyProtection="1">
      <alignment horizontal="center" vertical="center"/>
      <protection hidden="1"/>
    </xf>
    <xf numFmtId="0" fontId="23" fillId="7" borderId="9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1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61" xfId="0" applyFont="1" applyFill="1" applyBorder="1" applyAlignment="1" applyProtection="1">
      <alignment horizontal="center" vertical="center"/>
      <protection hidden="1"/>
    </xf>
    <xf numFmtId="0" fontId="23" fillId="3" borderId="12" xfId="0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center" vertical="center"/>
      <protection hidden="1"/>
    </xf>
    <xf numFmtId="0" fontId="23" fillId="3" borderId="42" xfId="0" applyFont="1" applyFill="1" applyBorder="1" applyAlignment="1" applyProtection="1">
      <alignment horizontal="center" vertical="center"/>
      <protection hidden="1"/>
    </xf>
    <xf numFmtId="0" fontId="23" fillId="3" borderId="54" xfId="0" applyNumberFormat="1" applyFont="1" applyFill="1" applyBorder="1" applyAlignment="1" applyProtection="1">
      <alignment horizontal="center" vertical="center"/>
      <protection hidden="1"/>
    </xf>
    <xf numFmtId="1" fontId="21" fillId="3" borderId="27" xfId="0" applyNumberFormat="1" applyFont="1" applyFill="1" applyBorder="1" applyAlignment="1" applyProtection="1">
      <alignment horizontal="center" vertical="center"/>
      <protection hidden="1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/>
      <protection hidden="1"/>
    </xf>
    <xf numFmtId="0" fontId="23" fillId="3" borderId="47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3" borderId="84" xfId="0" applyFont="1" applyFill="1" applyBorder="1" applyAlignment="1" applyProtection="1">
      <alignment horizontal="center" vertical="center"/>
      <protection hidden="1"/>
    </xf>
    <xf numFmtId="0" fontId="23" fillId="3" borderId="22" xfId="0" applyNumberFormat="1" applyFont="1" applyFill="1" applyBorder="1" applyAlignment="1" applyProtection="1">
      <alignment horizontal="center" vertical="center"/>
      <protection hidden="1"/>
    </xf>
    <xf numFmtId="1" fontId="21" fillId="3" borderId="12" xfId="0" applyNumberFormat="1" applyFont="1" applyFill="1" applyBorder="1" applyAlignment="1" applyProtection="1">
      <alignment horizontal="center" vertical="center"/>
      <protection hidden="1"/>
    </xf>
    <xf numFmtId="0" fontId="23" fillId="7" borderId="40" xfId="0" applyFont="1" applyFill="1" applyBorder="1" applyAlignment="1" applyProtection="1">
      <alignment horizontal="center" vertical="center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23" fillId="3" borderId="55" xfId="0" applyNumberFormat="1" applyFont="1" applyFill="1" applyBorder="1" applyAlignment="1" applyProtection="1">
      <alignment horizontal="center" vertical="center"/>
      <protection hidden="1"/>
    </xf>
    <xf numFmtId="0" fontId="23" fillId="7" borderId="31" xfId="0" applyFont="1" applyFill="1" applyBorder="1" applyAlignment="1" applyProtection="1">
      <alignment horizontal="center" vertical="center"/>
      <protection hidden="1"/>
    </xf>
    <xf numFmtId="0" fontId="23" fillId="4" borderId="12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vertical="center" wrapText="1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6" fillId="4" borderId="41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2" fontId="23" fillId="3" borderId="39" xfId="0" applyNumberFormat="1" applyFont="1" applyFill="1" applyBorder="1" applyAlignment="1" applyProtection="1">
      <alignment horizontal="center" vertical="center"/>
      <protection hidden="1"/>
    </xf>
    <xf numFmtId="1" fontId="21" fillId="4" borderId="28" xfId="0" applyNumberFormat="1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 wrapText="1"/>
      <protection hidden="1"/>
    </xf>
    <xf numFmtId="0" fontId="26" fillId="4" borderId="33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1" fontId="21" fillId="3" borderId="21" xfId="0" applyNumberFormat="1" applyFont="1" applyFill="1" applyBorder="1" applyAlignment="1" applyProtection="1">
      <alignment horizontal="center" vertical="center"/>
      <protection hidden="1"/>
    </xf>
    <xf numFmtId="0" fontId="26" fillId="4" borderId="19" xfId="0" applyFont="1" applyFill="1" applyBorder="1" applyAlignment="1" applyProtection="1">
      <alignment horizontal="center" vertical="center" wrapText="1"/>
      <protection hidden="1"/>
    </xf>
    <xf numFmtId="1" fontId="21" fillId="4" borderId="21" xfId="0" applyNumberFormat="1" applyFont="1" applyFill="1" applyBorder="1" applyAlignment="1" applyProtection="1">
      <alignment horizontal="center" vertical="center"/>
      <protection hidden="1"/>
    </xf>
    <xf numFmtId="0" fontId="23" fillId="7" borderId="9" xfId="0" applyFont="1" applyFill="1" applyBorder="1" applyAlignment="1" applyProtection="1">
      <alignment horizontal="center" vertical="center" wrapText="1"/>
      <protection hidden="1"/>
    </xf>
    <xf numFmtId="0" fontId="26" fillId="4" borderId="18" xfId="0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 wrapText="1"/>
      <protection hidden="1"/>
    </xf>
    <xf numFmtId="0" fontId="26" fillId="4" borderId="3" xfId="0" applyFont="1" applyFill="1" applyBorder="1" applyAlignment="1" applyProtection="1">
      <alignment horizontal="center" vertical="center" wrapText="1"/>
      <protection hidden="1"/>
    </xf>
    <xf numFmtId="0" fontId="23" fillId="7" borderId="40" xfId="0" applyFont="1" applyFill="1" applyBorder="1" applyAlignment="1" applyProtection="1">
      <alignment horizontal="center" vertical="center" wrapText="1"/>
      <protection hidden="1"/>
    </xf>
    <xf numFmtId="0" fontId="26" fillId="4" borderId="40" xfId="0" applyFont="1" applyFill="1" applyBorder="1" applyAlignment="1" applyProtection="1">
      <alignment horizontal="center" vertical="center" wrapText="1"/>
      <protection hidden="1"/>
    </xf>
    <xf numFmtId="0" fontId="26" fillId="4" borderId="9" xfId="0" applyFont="1" applyFill="1" applyBorder="1" applyAlignment="1" applyProtection="1">
      <alignment horizontal="center" vertical="center" wrapText="1"/>
      <protection hidden="1"/>
    </xf>
    <xf numFmtId="1" fontId="21" fillId="3" borderId="23" xfId="0" applyNumberFormat="1" applyFont="1" applyFill="1" applyBorder="1" applyAlignment="1" applyProtection="1">
      <alignment horizontal="center" vertical="center"/>
      <protection hidden="1"/>
    </xf>
    <xf numFmtId="1" fontId="21" fillId="3" borderId="0" xfId="0" applyNumberFormat="1" applyFont="1" applyFill="1" applyBorder="1" applyAlignment="1" applyProtection="1">
      <alignment horizontal="center" vertical="center"/>
      <protection hidden="1"/>
    </xf>
    <xf numFmtId="0" fontId="23" fillId="7" borderId="31" xfId="0" applyFont="1" applyFill="1" applyBorder="1" applyAlignment="1" applyProtection="1">
      <alignment horizontal="center" vertical="center" wrapText="1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3" fillId="7" borderId="27" xfId="0" applyFont="1" applyFill="1" applyBorder="1" applyAlignment="1" applyProtection="1">
      <alignment horizontal="center" vertical="center" wrapText="1"/>
      <protection hidden="1"/>
    </xf>
    <xf numFmtId="0" fontId="26" fillId="4" borderId="31" xfId="0" applyFont="1" applyFill="1" applyBorder="1" applyAlignment="1" applyProtection="1">
      <alignment horizontal="center" vertical="center" wrapText="1"/>
      <protection hidden="1"/>
    </xf>
    <xf numFmtId="0" fontId="31" fillId="0" borderId="15" xfId="0" applyFont="1" applyBorder="1" applyAlignment="1">
      <alignment vertical="center" wrapText="1"/>
    </xf>
    <xf numFmtId="0" fontId="26" fillId="4" borderId="4" xfId="0" applyFont="1" applyFill="1" applyBorder="1" applyAlignment="1" applyProtection="1">
      <alignment horizontal="center" vertical="center" wrapText="1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>
      <alignment vertical="center" wrapText="1"/>
    </xf>
    <xf numFmtId="0" fontId="26" fillId="4" borderId="30" xfId="0" applyFont="1" applyFill="1" applyBorder="1" applyAlignment="1" applyProtection="1">
      <alignment horizontal="center" vertical="center" wrapText="1"/>
      <protection hidden="1"/>
    </xf>
    <xf numFmtId="0" fontId="21" fillId="4" borderId="9" xfId="0" applyFont="1" applyFill="1" applyBorder="1" applyAlignment="1" applyProtection="1">
      <alignment horizontal="center" vertical="center"/>
      <protection hidden="1"/>
    </xf>
    <xf numFmtId="0" fontId="23" fillId="7" borderId="30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1" fontId="21" fillId="4" borderId="1" xfId="0" applyNumberFormat="1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 wrapText="1"/>
    </xf>
    <xf numFmtId="1" fontId="21" fillId="4" borderId="2" xfId="0" applyNumberFormat="1" applyFont="1" applyFill="1" applyBorder="1" applyAlignment="1">
      <alignment horizontal="center" vertical="center"/>
    </xf>
    <xf numFmtId="0" fontId="23" fillId="4" borderId="23" xfId="0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 wrapText="1"/>
      <protection hidden="1"/>
    </xf>
    <xf numFmtId="1" fontId="21" fillId="3" borderId="2" xfId="0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1" fillId="0" borderId="64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1" fillId="0" borderId="60" xfId="0" applyFont="1" applyFill="1" applyBorder="1" applyAlignment="1">
      <alignment horizontal="center" vertical="center"/>
    </xf>
    <xf numFmtId="0" fontId="23" fillId="4" borderId="39" xfId="0" applyFont="1" applyFill="1" applyBorder="1" applyAlignment="1" applyProtection="1">
      <alignment horizontal="center" vertical="center" wrapText="1"/>
      <protection hidden="1"/>
    </xf>
    <xf numFmtId="0" fontId="23" fillId="3" borderId="40" xfId="0" applyFont="1" applyFill="1" applyBorder="1" applyAlignment="1">
      <alignment horizontal="center" vertical="center" wrapText="1"/>
    </xf>
    <xf numFmtId="0" fontId="23" fillId="3" borderId="39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4" borderId="38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1" fontId="21" fillId="4" borderId="3" xfId="0" applyNumberFormat="1" applyFont="1" applyFill="1" applyBorder="1" applyAlignment="1">
      <alignment horizontal="center" vertical="center"/>
    </xf>
    <xf numFmtId="0" fontId="21" fillId="5" borderId="15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>
      <alignment horizontal="center" vertical="center" wrapText="1"/>
    </xf>
    <xf numFmtId="0" fontId="23" fillId="3" borderId="85" xfId="0" applyFont="1" applyFill="1" applyBorder="1" applyAlignment="1" applyProtection="1">
      <alignment horizontal="center" vertical="center" wrapText="1"/>
      <protection hidden="1"/>
    </xf>
    <xf numFmtId="0" fontId="23" fillId="3" borderId="20" xfId="0" applyFont="1" applyFill="1" applyBorder="1" applyAlignment="1">
      <alignment horizontal="center" vertical="center"/>
    </xf>
    <xf numFmtId="0" fontId="23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57" xfId="0" applyFont="1" applyFill="1" applyBorder="1" applyAlignment="1">
      <alignment horizontal="center" vertical="center" wrapText="1"/>
    </xf>
    <xf numFmtId="0" fontId="23" fillId="3" borderId="88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 wrapText="1"/>
    </xf>
    <xf numFmtId="0" fontId="23" fillId="3" borderId="86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>
      <alignment horizontal="center" vertical="center"/>
    </xf>
    <xf numFmtId="0" fontId="21" fillId="5" borderId="30" xfId="0" applyFont="1" applyFill="1" applyBorder="1" applyAlignment="1" applyProtection="1">
      <alignment horizontal="center" vertical="center"/>
      <protection hidden="1"/>
    </xf>
    <xf numFmtId="0" fontId="23" fillId="3" borderId="1" xfId="1" applyFont="1" applyFill="1" applyBorder="1" applyAlignment="1" applyProtection="1">
      <alignment horizontal="center" vertical="center" wrapText="1"/>
      <protection hidden="1"/>
    </xf>
    <xf numFmtId="0" fontId="21" fillId="5" borderId="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2" xfId="1" applyFont="1" applyFill="1" applyBorder="1" applyAlignment="1" applyProtection="1">
      <alignment horizontal="center" vertical="center" wrapText="1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1" fillId="5" borderId="3" xfId="0" applyFont="1" applyFill="1" applyBorder="1" applyAlignment="1" applyProtection="1">
      <alignment horizontal="center" vertical="center"/>
      <protection hidden="1"/>
    </xf>
    <xf numFmtId="0" fontId="23" fillId="3" borderId="3" xfId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23" fillId="15" borderId="2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16" xfId="0" applyFont="1" applyFill="1" applyBorder="1" applyAlignment="1" applyProtection="1">
      <alignment horizontal="center" vertical="center" wrapText="1"/>
      <protection hidden="1"/>
    </xf>
    <xf numFmtId="0" fontId="23" fillId="3" borderId="20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 wrapText="1"/>
      <protection hidden="1"/>
    </xf>
    <xf numFmtId="0" fontId="23" fillId="3" borderId="10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vertical="center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 applyProtection="1">
      <alignment horizontal="center" vertical="center" wrapText="1"/>
      <protection hidden="1"/>
    </xf>
    <xf numFmtId="0" fontId="23" fillId="3" borderId="13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9" fillId="25" borderId="1" xfId="0" applyFont="1" applyFill="1" applyBorder="1" applyAlignment="1" applyProtection="1">
      <alignment horizontal="center" vertical="center"/>
      <protection hidden="1"/>
    </xf>
    <xf numFmtId="0" fontId="23" fillId="4" borderId="46" xfId="0" applyFont="1" applyFill="1" applyBorder="1" applyAlignment="1" applyProtection="1">
      <alignment horizontal="center" vertical="center"/>
      <protection hidden="1"/>
    </xf>
    <xf numFmtId="0" fontId="29" fillId="25" borderId="3" xfId="0" applyFont="1" applyFill="1" applyBorder="1" applyAlignment="1" applyProtection="1">
      <alignment horizontal="center" vertical="center"/>
      <protection hidden="1"/>
    </xf>
    <xf numFmtId="0" fontId="23" fillId="4" borderId="48" xfId="0" applyFont="1" applyFill="1" applyBorder="1" applyAlignment="1" applyProtection="1">
      <alignment horizontal="center" vertical="center"/>
      <protection hidden="1"/>
    </xf>
    <xf numFmtId="0" fontId="23" fillId="24" borderId="27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/>
      <protection hidden="1"/>
    </xf>
    <xf numFmtId="0" fontId="23" fillId="24" borderId="12" xfId="0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4" borderId="28" xfId="0" applyFont="1" applyFill="1" applyBorder="1" applyAlignment="1" applyProtection="1">
      <alignment horizontal="center" vertical="center"/>
      <protection hidden="1"/>
    </xf>
    <xf numFmtId="0" fontId="23" fillId="4" borderId="29" xfId="0" applyFont="1" applyFill="1" applyBorder="1" applyAlignment="1" applyProtection="1">
      <alignment horizontal="center" vertical="center"/>
      <protection hidden="1"/>
    </xf>
    <xf numFmtId="0" fontId="23" fillId="4" borderId="19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3" fontId="21" fillId="4" borderId="27" xfId="0" applyNumberFormat="1" applyFont="1" applyFill="1" applyBorder="1" applyAlignment="1" applyProtection="1">
      <alignment horizontal="center" vertical="center"/>
      <protection hidden="1"/>
    </xf>
    <xf numFmtId="1" fontId="21" fillId="4" borderId="12" xfId="0" applyNumberFormat="1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vertical="center"/>
      <protection hidden="1"/>
    </xf>
    <xf numFmtId="0" fontId="21" fillId="3" borderId="19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 wrapText="1"/>
      <protection hidden="1"/>
    </xf>
    <xf numFmtId="0" fontId="23" fillId="3" borderId="40" xfId="1" applyFont="1" applyFill="1" applyBorder="1" applyAlignment="1" applyProtection="1">
      <alignment horizontal="center" vertical="center"/>
      <protection hidden="1"/>
    </xf>
    <xf numFmtId="1" fontId="21" fillId="4" borderId="15" xfId="0" applyNumberFormat="1" applyFont="1" applyFill="1" applyBorder="1" applyAlignment="1" applyProtection="1">
      <alignment horizontal="center" vertical="center"/>
      <protection hidden="1"/>
    </xf>
    <xf numFmtId="0" fontId="21" fillId="3" borderId="32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3" borderId="21" xfId="0" applyFont="1" applyFill="1" applyBorder="1" applyAlignment="1" applyProtection="1">
      <alignment horizontal="center" vertical="center" wrapText="1"/>
      <protection hidden="1"/>
    </xf>
    <xf numFmtId="0" fontId="23" fillId="3" borderId="31" xfId="1" applyFont="1" applyFill="1" applyBorder="1" applyAlignment="1" applyProtection="1">
      <alignment horizontal="center" vertical="center"/>
      <protection hidden="1"/>
    </xf>
    <xf numFmtId="0" fontId="23" fillId="3" borderId="23" xfId="0" applyFont="1" applyFill="1" applyBorder="1" applyAlignment="1" applyProtection="1">
      <alignment horizontal="center" vertical="center" wrapText="1"/>
      <protection hidden="1"/>
    </xf>
    <xf numFmtId="0" fontId="23" fillId="3" borderId="58" xfId="0" applyFont="1" applyFill="1" applyBorder="1" applyAlignment="1" applyProtection="1">
      <alignment horizontal="center" vertical="center"/>
      <protection hidden="1"/>
    </xf>
    <xf numFmtId="0" fontId="21" fillId="3" borderId="50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3" fillId="3" borderId="23" xfId="0" applyFont="1" applyFill="1" applyBorder="1" applyAlignment="1" applyProtection="1">
      <alignment horizontal="center" vertical="center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3" fillId="3" borderId="29" xfId="0" applyFont="1" applyFill="1" applyBorder="1" applyAlignment="1" applyProtection="1">
      <alignment horizontal="center" vertical="center" wrapText="1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 wrapText="1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30" xfId="0" applyFont="1" applyFill="1" applyBorder="1" applyAlignment="1" applyProtection="1">
      <alignment horizontal="center" vertical="center"/>
      <protection hidden="1"/>
    </xf>
    <xf numFmtId="0" fontId="23" fillId="3" borderId="9" xfId="1" applyFont="1" applyFill="1" applyBorder="1" applyAlignment="1" applyProtection="1">
      <alignment horizontal="center" vertical="center"/>
      <protection hidden="1"/>
    </xf>
    <xf numFmtId="1" fontId="21" fillId="3" borderId="29" xfId="0" applyNumberFormat="1" applyFont="1" applyFill="1" applyBorder="1" applyAlignment="1" applyProtection="1">
      <alignment horizontal="center" vertical="center"/>
      <protection hidden="1"/>
    </xf>
    <xf numFmtId="0" fontId="21" fillId="0" borderId="41" xfId="0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vertical="center" wrapText="1"/>
      <protection hidden="1"/>
    </xf>
    <xf numFmtId="0" fontId="23" fillId="0" borderId="36" xfId="0" applyFont="1" applyFill="1" applyBorder="1" applyAlignment="1" applyProtection="1">
      <alignment horizontal="center" vertical="center" wrapText="1"/>
      <protection hidden="1"/>
    </xf>
    <xf numFmtId="0" fontId="23" fillId="4" borderId="26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/>
      <protection hidden="1"/>
    </xf>
    <xf numFmtId="1" fontId="23" fillId="3" borderId="26" xfId="0" applyNumberFormat="1" applyFont="1" applyFill="1" applyBorder="1" applyAlignment="1" applyProtection="1">
      <alignment horizontal="center" vertical="center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 wrapText="1"/>
      <protection hidden="1"/>
    </xf>
    <xf numFmtId="0" fontId="23" fillId="0" borderId="15" xfId="1" applyFont="1" applyFill="1" applyBorder="1" applyAlignment="1" applyProtection="1">
      <alignment horizontal="center" vertical="center"/>
      <protection hidden="1"/>
    </xf>
    <xf numFmtId="3" fontId="21" fillId="0" borderId="15" xfId="0" applyNumberFormat="1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Fill="1" applyProtection="1">
      <protection hidden="1"/>
    </xf>
    <xf numFmtId="2" fontId="23" fillId="0" borderId="0" xfId="2" applyNumberFormat="1" applyFont="1" applyFill="1" applyAlignment="1" applyProtection="1">
      <alignment horizontal="center" vertical="center"/>
      <protection hidden="1"/>
    </xf>
    <xf numFmtId="1" fontId="21" fillId="0" borderId="30" xfId="0" applyNumberFormat="1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wrapText="1"/>
      <protection hidden="1"/>
    </xf>
    <xf numFmtId="0" fontId="23" fillId="0" borderId="4" xfId="0" applyFont="1" applyFill="1" applyBorder="1" applyAlignment="1" applyProtection="1">
      <alignment horizontal="center" vertical="center" wrapText="1"/>
      <protection hidden="1"/>
    </xf>
    <xf numFmtId="0" fontId="21" fillId="0" borderId="4" xfId="0" applyFont="1" applyFill="1" applyBorder="1" applyAlignment="1" applyProtection="1">
      <alignment vertical="center" wrapTex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21" fillId="3" borderId="27" xfId="0" applyFont="1" applyFill="1" applyBorder="1" applyAlignment="1" applyProtection="1">
      <alignment horizontal="center" vertical="center"/>
      <protection hidden="1"/>
    </xf>
    <xf numFmtId="0" fontId="23" fillId="0" borderId="50" xfId="0" applyFont="1" applyFill="1" applyBorder="1" applyAlignment="1" applyProtection="1">
      <alignment horizontal="center" vertical="center" wrapText="1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0" fontId="23" fillId="0" borderId="21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0" fontId="23" fillId="0" borderId="29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3" fillId="0" borderId="4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87" xfId="0" applyFont="1" applyFill="1" applyBorder="1" applyAlignment="1" applyProtection="1">
      <alignment horizontal="center" vertical="center"/>
      <protection hidden="1"/>
    </xf>
    <xf numFmtId="2" fontId="23" fillId="0" borderId="37" xfId="2" applyNumberFormat="1" applyFont="1" applyBorder="1" applyProtection="1">
      <protection hidden="1"/>
    </xf>
    <xf numFmtId="0" fontId="23" fillId="3" borderId="57" xfId="0" applyFont="1" applyFill="1" applyBorder="1" applyAlignment="1" applyProtection="1">
      <alignment horizontal="center" vertical="center"/>
      <protection hidden="1"/>
    </xf>
    <xf numFmtId="0" fontId="23" fillId="3" borderId="56" xfId="0" applyFont="1" applyFill="1" applyBorder="1" applyAlignment="1" applyProtection="1">
      <alignment horizontal="center" vertical="center"/>
      <protection hidden="1"/>
    </xf>
    <xf numFmtId="0" fontId="23" fillId="0" borderId="23" xfId="0" applyFont="1" applyFill="1" applyBorder="1" applyAlignment="1" applyProtection="1">
      <alignment horizontal="center" vertical="center" wrapText="1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 wrapText="1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0" borderId="64" xfId="0" applyFont="1" applyFill="1" applyBorder="1" applyAlignment="1" applyProtection="1">
      <alignment horizontal="center" vertical="center" wrapText="1"/>
      <protection hidden="1"/>
    </xf>
    <xf numFmtId="1" fontId="21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0" borderId="62" xfId="0" applyFont="1" applyFill="1" applyBorder="1" applyProtection="1">
      <protection hidden="1"/>
    </xf>
    <xf numFmtId="0" fontId="23" fillId="4" borderId="53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0" borderId="37" xfId="0" applyFont="1" applyFill="1" applyBorder="1" applyProtection="1">
      <protection hidden="1"/>
    </xf>
    <xf numFmtId="0" fontId="23" fillId="4" borderId="11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0" fontId="23" fillId="0" borderId="38" xfId="0" applyFont="1" applyFill="1" applyBorder="1" applyProtection="1">
      <protection hidden="1"/>
    </xf>
    <xf numFmtId="0" fontId="23" fillId="4" borderId="14" xfId="0" applyFont="1" applyFill="1" applyBorder="1" applyAlignment="1" applyProtection="1">
      <alignment horizontal="center" vertical="center"/>
      <protection hidden="1"/>
    </xf>
    <xf numFmtId="0" fontId="23" fillId="3" borderId="29" xfId="0" applyFont="1" applyFill="1" applyBorder="1" applyAlignment="1" applyProtection="1">
      <alignment horizontal="center" vertical="center"/>
      <protection hidden="1"/>
    </xf>
    <xf numFmtId="1" fontId="21" fillId="3" borderId="18" xfId="0" applyNumberFormat="1" applyFont="1" applyFill="1" applyBorder="1" applyAlignment="1" applyProtection="1">
      <alignment horizontal="center" vertical="center"/>
      <protection hidden="1"/>
    </xf>
    <xf numFmtId="0" fontId="23" fillId="3" borderId="25" xfId="0" applyFont="1" applyFill="1" applyBorder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Border="1" applyProtection="1">
      <protection hidden="1"/>
    </xf>
    <xf numFmtId="2" fontId="23" fillId="0" borderId="0" xfId="2" applyNumberFormat="1" applyFont="1" applyBorder="1" applyProtection="1">
      <protection hidden="1"/>
    </xf>
    <xf numFmtId="0" fontId="21" fillId="0" borderId="8" xfId="0" applyFont="1" applyFill="1" applyBorder="1" applyAlignment="1" applyProtection="1">
      <alignment vertical="center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23" fillId="3" borderId="5" xfId="0" applyFont="1" applyFill="1" applyBorder="1" applyAlignment="1" applyProtection="1">
      <alignment horizontal="center" vertical="center" wrapText="1"/>
      <protection hidden="1"/>
    </xf>
    <xf numFmtId="1" fontId="21" fillId="3" borderId="5" xfId="0" applyNumberFormat="1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 wrapText="1"/>
      <protection hidden="1"/>
    </xf>
    <xf numFmtId="0" fontId="21" fillId="3" borderId="1" xfId="0" applyFont="1" applyFill="1" applyBorder="1" applyAlignment="1" applyProtection="1">
      <alignment horizontal="center" vertical="center"/>
      <protection hidden="1"/>
    </xf>
    <xf numFmtId="0" fontId="23" fillId="3" borderId="49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 wrapText="1"/>
      <protection hidden="1"/>
    </xf>
    <xf numFmtId="2" fontId="23" fillId="0" borderId="50" xfId="2" applyNumberFormat="1" applyFont="1" applyBorder="1" applyProtection="1">
      <protection hidden="1"/>
    </xf>
    <xf numFmtId="2" fontId="23" fillId="0" borderId="50" xfId="2" applyNumberFormat="1" applyFont="1" applyBorder="1" applyAlignment="1" applyProtection="1">
      <alignment horizontal="center" vertical="center"/>
      <protection hidden="1"/>
    </xf>
    <xf numFmtId="0" fontId="23" fillId="3" borderId="32" xfId="0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23" fillId="3" borderId="6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 wrapText="1"/>
      <protection hidden="1"/>
    </xf>
    <xf numFmtId="2" fontId="23" fillId="0" borderId="21" xfId="2" applyNumberFormat="1" applyFont="1" applyBorder="1" applyProtection="1">
      <protection hidden="1"/>
    </xf>
    <xf numFmtId="2" fontId="23" fillId="0" borderId="21" xfId="2" applyNumberFormat="1" applyFont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 wrapText="1"/>
      <protection hidden="1"/>
    </xf>
    <xf numFmtId="0" fontId="21" fillId="3" borderId="12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/>
      <protection hidden="1"/>
    </xf>
    <xf numFmtId="0" fontId="23" fillId="3" borderId="14" xfId="0" applyFont="1" applyFill="1" applyBorder="1" applyAlignment="1" applyProtection="1">
      <alignment horizontal="center"/>
      <protection hidden="1"/>
    </xf>
    <xf numFmtId="2" fontId="23" fillId="0" borderId="23" xfId="2" applyNumberFormat="1" applyFont="1" applyBorder="1" applyProtection="1">
      <protection hidden="1"/>
    </xf>
    <xf numFmtId="2" fontId="23" fillId="0" borderId="23" xfId="2" applyNumberFormat="1" applyFont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44" xfId="0" applyFont="1" applyFill="1" applyBorder="1" applyAlignment="1" applyProtection="1">
      <alignment horizontal="center" vertical="center"/>
      <protection hidden="1"/>
    </xf>
    <xf numFmtId="0" fontId="23" fillId="3" borderId="32" xfId="0" applyFont="1" applyFill="1" applyBorder="1" applyAlignment="1" applyProtection="1">
      <alignment horizontal="center" vertical="center"/>
      <protection hidden="1"/>
    </xf>
    <xf numFmtId="0" fontId="23" fillId="3" borderId="43" xfId="0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0" fontId="21" fillId="3" borderId="27" xfId="0" applyFont="1" applyFill="1" applyBorder="1" applyAlignment="1" applyProtection="1">
      <alignment horizontal="center" vertical="center"/>
      <protection hidden="1"/>
    </xf>
    <xf numFmtId="0" fontId="21" fillId="3" borderId="18" xfId="0" applyFont="1" applyFill="1" applyBorder="1" applyAlignment="1" applyProtection="1">
      <alignment horizontal="center" vertical="center"/>
      <protection hidden="1"/>
    </xf>
    <xf numFmtId="0" fontId="23" fillId="3" borderId="34" xfId="0" applyFont="1" applyFill="1" applyBorder="1" applyAlignment="1" applyProtection="1">
      <alignment horizontal="center" vertical="center"/>
      <protection hidden="1"/>
    </xf>
    <xf numFmtId="0" fontId="21" fillId="0" borderId="49" xfId="0" applyFont="1" applyFill="1" applyBorder="1" applyAlignment="1" applyProtection="1">
      <alignment vertical="center"/>
      <protection hidden="1"/>
    </xf>
    <xf numFmtId="0" fontId="21" fillId="3" borderId="85" xfId="0" applyFont="1" applyFill="1" applyBorder="1" applyAlignment="1" applyProtection="1">
      <alignment horizontal="center" vertical="center"/>
      <protection hidden="1"/>
    </xf>
    <xf numFmtId="0" fontId="21" fillId="3" borderId="17" xfId="0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3" fillId="3" borderId="86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 applyProtection="1">
      <alignment horizontal="center" vertical="center"/>
      <protection hidden="1"/>
    </xf>
    <xf numFmtId="0" fontId="21" fillId="5" borderId="34" xfId="0" applyFont="1" applyFill="1" applyBorder="1" applyAlignment="1" applyProtection="1"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1" fontId="21" fillId="3" borderId="31" xfId="0" applyNumberFormat="1" applyFont="1" applyFill="1" applyBorder="1" applyAlignment="1" applyProtection="1">
      <alignment horizontal="center" vertical="center"/>
      <protection hidden="1"/>
    </xf>
    <xf numFmtId="0" fontId="21" fillId="0" borderId="8" xfId="0" applyFont="1" applyFill="1" applyBorder="1" applyAlignment="1" applyProtection="1">
      <alignment vertical="center" wrapText="1"/>
      <protection hidden="1"/>
    </xf>
    <xf numFmtId="0" fontId="21" fillId="3" borderId="1" xfId="0" applyFont="1" applyFill="1" applyBorder="1" applyAlignment="1" applyProtection="1">
      <alignment vertical="center"/>
      <protection hidden="1"/>
    </xf>
    <xf numFmtId="0" fontId="23" fillId="0" borderId="5" xfId="0" applyFont="1" applyBorder="1" applyProtection="1">
      <protection hidden="1"/>
    </xf>
    <xf numFmtId="0" fontId="21" fillId="0" borderId="8" xfId="0" applyFont="1" applyBorder="1" applyAlignment="1" applyProtection="1">
      <protection hidden="1"/>
    </xf>
    <xf numFmtId="0" fontId="21" fillId="5" borderId="8" xfId="0" applyFont="1" applyFill="1" applyBorder="1" applyAlignment="1" applyProtection="1">
      <protection hidden="1"/>
    </xf>
    <xf numFmtId="0" fontId="23" fillId="0" borderId="39" xfId="0" applyFont="1" applyFill="1" applyBorder="1" applyProtection="1">
      <protection hidden="1"/>
    </xf>
    <xf numFmtId="0" fontId="23" fillId="3" borderId="1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0" fontId="21" fillId="4" borderId="48" xfId="0" applyFont="1" applyFill="1" applyBorder="1" applyAlignment="1" applyProtection="1">
      <alignment horizontal="center" vertical="center"/>
      <protection hidden="1"/>
    </xf>
    <xf numFmtId="2" fontId="23" fillId="0" borderId="30" xfId="2" applyNumberFormat="1" applyFont="1" applyBorder="1" applyProtection="1">
      <protection hidden="1"/>
    </xf>
    <xf numFmtId="2" fontId="23" fillId="0" borderId="30" xfId="2" applyNumberFormat="1" applyFont="1" applyBorder="1" applyAlignment="1" applyProtection="1">
      <alignment horizontal="center" vertical="center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pn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16" Type="http://schemas.openxmlformats.org/officeDocument/2006/relationships/image" Target="../media/image117.jpeg"/><Relationship Id="rId124" Type="http://schemas.openxmlformats.org/officeDocument/2006/relationships/image" Target="../media/image12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11" Type="http://schemas.openxmlformats.org/officeDocument/2006/relationships/image" Target="../media/image11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pn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9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66" Type="http://schemas.openxmlformats.org/officeDocument/2006/relationships/image" Target="../media/image189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87" Type="http://schemas.openxmlformats.org/officeDocument/2006/relationships/image" Target="../media/image209.jpeg"/><Relationship Id="rId102" Type="http://schemas.openxmlformats.org/officeDocument/2006/relationships/image" Target="../media/image224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5" Type="http://schemas.openxmlformats.org/officeDocument/2006/relationships/image" Target="../media/image132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56" Type="http://schemas.openxmlformats.org/officeDocument/2006/relationships/image" Target="../media/image179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" Type="http://schemas.openxmlformats.org/officeDocument/2006/relationships/image" Target="../media/image135.jpeg"/><Relationship Id="rId51" Type="http://schemas.openxmlformats.org/officeDocument/2006/relationships/image" Target="../media/image45.png"/><Relationship Id="rId72" Type="http://schemas.openxmlformats.org/officeDocument/2006/relationships/image" Target="../media/image195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46" Type="http://schemas.openxmlformats.org/officeDocument/2006/relationships/image" Target="../media/image170.jpeg"/><Relationship Id="rId59" Type="http://schemas.openxmlformats.org/officeDocument/2006/relationships/image" Target="../media/image182.jpeg"/><Relationship Id="rId67" Type="http://schemas.openxmlformats.org/officeDocument/2006/relationships/image" Target="../media/image190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54" Type="http://schemas.openxmlformats.org/officeDocument/2006/relationships/image" Target="../media/image177.jpeg"/><Relationship Id="rId62" Type="http://schemas.openxmlformats.org/officeDocument/2006/relationships/image" Target="../media/image185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11" Type="http://schemas.openxmlformats.org/officeDocument/2006/relationships/image" Target="../media/image233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15" Type="http://schemas.openxmlformats.org/officeDocument/2006/relationships/image" Target="../media/image142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jpeg"/><Relationship Id="rId49" Type="http://schemas.openxmlformats.org/officeDocument/2006/relationships/image" Target="../media/image173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70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0</xdr:colOff>
      <xdr:row>208</xdr:row>
      <xdr:rowOff>236218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209</xdr:row>
      <xdr:rowOff>0</xdr:rowOff>
    </xdr:from>
    <xdr:to>
      <xdr:col>2</xdr:col>
      <xdr:colOff>0</xdr:colOff>
      <xdr:row>211</xdr:row>
      <xdr:rowOff>236220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212</xdr:row>
      <xdr:rowOff>0</xdr:rowOff>
    </xdr:from>
    <xdr:to>
      <xdr:col>2</xdr:col>
      <xdr:colOff>0</xdr:colOff>
      <xdr:row>215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215</xdr:row>
      <xdr:rowOff>7620</xdr:rowOff>
    </xdr:from>
    <xdr:to>
      <xdr:col>2</xdr:col>
      <xdr:colOff>3265</xdr:colOff>
      <xdr:row>217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2</xdr:col>
      <xdr:colOff>0</xdr:colOff>
      <xdr:row>220</xdr:row>
      <xdr:rowOff>1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220</xdr:row>
      <xdr:rowOff>7620</xdr:rowOff>
    </xdr:from>
    <xdr:to>
      <xdr:col>2</xdr:col>
      <xdr:colOff>0</xdr:colOff>
      <xdr:row>220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223</xdr:row>
      <xdr:rowOff>0</xdr:rowOff>
    </xdr:from>
    <xdr:to>
      <xdr:col>2</xdr:col>
      <xdr:colOff>0</xdr:colOff>
      <xdr:row>223</xdr:row>
      <xdr:rowOff>721177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2</xdr:col>
      <xdr:colOff>0</xdr:colOff>
      <xdr:row>225</xdr:row>
      <xdr:rowOff>7621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225</xdr:row>
      <xdr:rowOff>7620</xdr:rowOff>
    </xdr:from>
    <xdr:to>
      <xdr:col>2</xdr:col>
      <xdr:colOff>0</xdr:colOff>
      <xdr:row>226</xdr:row>
      <xdr:rowOff>1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226</xdr:row>
      <xdr:rowOff>7620</xdr:rowOff>
    </xdr:from>
    <xdr:to>
      <xdr:col>2</xdr:col>
      <xdr:colOff>0</xdr:colOff>
      <xdr:row>227</xdr:row>
      <xdr:rowOff>-1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227</xdr:row>
      <xdr:rowOff>0</xdr:rowOff>
    </xdr:from>
    <xdr:to>
      <xdr:col>2</xdr:col>
      <xdr:colOff>0</xdr:colOff>
      <xdr:row>227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7620</xdr:rowOff>
    </xdr:from>
    <xdr:to>
      <xdr:col>2</xdr:col>
      <xdr:colOff>0</xdr:colOff>
      <xdr:row>204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194</xdr:row>
      <xdr:rowOff>190500</xdr:rowOff>
    </xdr:from>
    <xdr:to>
      <xdr:col>1</xdr:col>
      <xdr:colOff>1363980</xdr:colOff>
      <xdr:row>194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5170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234</xdr:row>
      <xdr:rowOff>7620</xdr:rowOff>
    </xdr:from>
    <xdr:to>
      <xdr:col>1</xdr:col>
      <xdr:colOff>1548765</xdr:colOff>
      <xdr:row>234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233</xdr:row>
      <xdr:rowOff>7620</xdr:rowOff>
    </xdr:from>
    <xdr:to>
      <xdr:col>2</xdr:col>
      <xdr:colOff>1360</xdr:colOff>
      <xdr:row>233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196</xdr:row>
      <xdr:rowOff>198120</xdr:rowOff>
    </xdr:from>
    <xdr:to>
      <xdr:col>1</xdr:col>
      <xdr:colOff>1341120</xdr:colOff>
      <xdr:row>196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5170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230</xdr:row>
      <xdr:rowOff>15240</xdr:rowOff>
    </xdr:from>
    <xdr:to>
      <xdr:col>1</xdr:col>
      <xdr:colOff>1539240</xdr:colOff>
      <xdr:row>230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5170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</xdr:row>
      <xdr:rowOff>7620</xdr:rowOff>
    </xdr:from>
    <xdr:to>
      <xdr:col>2</xdr:col>
      <xdr:colOff>5170</xdr:colOff>
      <xdr:row>22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10160</xdr:rowOff>
    </xdr:from>
    <xdr:to>
      <xdr:col>2</xdr:col>
      <xdr:colOff>3265</xdr:colOff>
      <xdr:row>17</xdr:row>
      <xdr:rowOff>10159</xdr:rowOff>
    </xdr:to>
    <xdr:pic>
      <xdr:nvPicPr>
        <xdr:cNvPr id="74000" name="Рисунок 1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93280"/>
          <a:ext cx="1584960" cy="72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</xdr:row>
      <xdr:rowOff>0</xdr:rowOff>
    </xdr:from>
    <xdr:to>
      <xdr:col>2</xdr:col>
      <xdr:colOff>0</xdr:colOff>
      <xdr:row>19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0</xdr:colOff>
      <xdr:row>15</xdr:row>
      <xdr:rowOff>716280</xdr:rowOff>
    </xdr:to>
    <xdr:pic>
      <xdr:nvPicPr>
        <xdr:cNvPr id="74002" name="Рисунок 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93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20</xdr:row>
      <xdr:rowOff>7620</xdr:rowOff>
    </xdr:from>
    <xdr:to>
      <xdr:col>2</xdr:col>
      <xdr:colOff>2630</xdr:colOff>
      <xdr:row>20</xdr:row>
      <xdr:rowOff>708660</xdr:rowOff>
    </xdr:to>
    <xdr:pic>
      <xdr:nvPicPr>
        <xdr:cNvPr id="74003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" y="10076180"/>
          <a:ext cx="15697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30480</xdr:rowOff>
    </xdr:from>
    <xdr:to>
      <xdr:col>2</xdr:col>
      <xdr:colOff>0</xdr:colOff>
      <xdr:row>23</xdr:row>
      <xdr:rowOff>721178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283440"/>
          <a:ext cx="15621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5170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3265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5170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3265</xdr:colOff>
      <xdr:row>40</xdr:row>
      <xdr:rowOff>1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1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5170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5170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7619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7621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3265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5170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3265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3265</xdr:colOff>
      <xdr:row>63</xdr:row>
      <xdr:rowOff>7621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358140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3265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91</xdr:row>
      <xdr:rowOff>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3265</xdr:colOff>
      <xdr:row>94</xdr:row>
      <xdr:rowOff>373380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7620</xdr:rowOff>
    </xdr:from>
    <xdr:to>
      <xdr:col>2</xdr:col>
      <xdr:colOff>0</xdr:colOff>
      <xdr:row>123</xdr:row>
      <xdr:rowOff>0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7620</xdr:rowOff>
    </xdr:from>
    <xdr:to>
      <xdr:col>2</xdr:col>
      <xdr:colOff>0</xdr:colOff>
      <xdr:row>122</xdr:row>
      <xdr:rowOff>7619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2</xdr:col>
      <xdr:colOff>0</xdr:colOff>
      <xdr:row>121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373380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30480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2</xdr:col>
      <xdr:colOff>0</xdr:colOff>
      <xdr:row>144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143</xdr:row>
      <xdr:rowOff>0</xdr:rowOff>
    </xdr:from>
    <xdr:to>
      <xdr:col>2</xdr:col>
      <xdr:colOff>0</xdr:colOff>
      <xdr:row>144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0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147</xdr:row>
      <xdr:rowOff>7620</xdr:rowOff>
    </xdr:from>
    <xdr:to>
      <xdr:col>2</xdr:col>
      <xdr:colOff>0</xdr:colOff>
      <xdr:row>148</xdr:row>
      <xdr:rowOff>373380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149</xdr:row>
      <xdr:rowOff>7620</xdr:rowOff>
    </xdr:from>
    <xdr:to>
      <xdr:col>2</xdr:col>
      <xdr:colOff>0</xdr:colOff>
      <xdr:row>150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152</xdr:row>
      <xdr:rowOff>419100</xdr:rowOff>
    </xdr:from>
    <xdr:to>
      <xdr:col>2</xdr:col>
      <xdr:colOff>3265</xdr:colOff>
      <xdr:row>154</xdr:row>
      <xdr:rowOff>426721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67025520"/>
          <a:ext cx="16306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7620</xdr:rowOff>
    </xdr:from>
    <xdr:to>
      <xdr:col>2</xdr:col>
      <xdr:colOff>0</xdr:colOff>
      <xdr:row>158</xdr:row>
      <xdr:rowOff>373380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7620</xdr:rowOff>
    </xdr:from>
    <xdr:to>
      <xdr:col>2</xdr:col>
      <xdr:colOff>0</xdr:colOff>
      <xdr:row>161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161</xdr:row>
      <xdr:rowOff>0</xdr:rowOff>
    </xdr:from>
    <xdr:to>
      <xdr:col>2</xdr:col>
      <xdr:colOff>0</xdr:colOff>
      <xdr:row>162</xdr:row>
      <xdr:rowOff>350520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163</xdr:row>
      <xdr:rowOff>7620</xdr:rowOff>
    </xdr:from>
    <xdr:to>
      <xdr:col>2</xdr:col>
      <xdr:colOff>0</xdr:colOff>
      <xdr:row>164</xdr:row>
      <xdr:rowOff>353785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165</xdr:row>
      <xdr:rowOff>0</xdr:rowOff>
    </xdr:from>
    <xdr:to>
      <xdr:col>2</xdr:col>
      <xdr:colOff>0</xdr:colOff>
      <xdr:row>165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167</xdr:row>
      <xdr:rowOff>0</xdr:rowOff>
    </xdr:from>
    <xdr:to>
      <xdr:col>2</xdr:col>
      <xdr:colOff>0</xdr:colOff>
      <xdr:row>167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169</xdr:row>
      <xdr:rowOff>53340</xdr:rowOff>
    </xdr:from>
    <xdr:to>
      <xdr:col>1</xdr:col>
      <xdr:colOff>1394460</xdr:colOff>
      <xdr:row>169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320040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197</xdr:row>
      <xdr:rowOff>152400</xdr:rowOff>
    </xdr:from>
    <xdr:to>
      <xdr:col>1</xdr:col>
      <xdr:colOff>1310640</xdr:colOff>
      <xdr:row>197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3265</xdr:colOff>
      <xdr:row>128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7620</xdr:rowOff>
    </xdr:from>
    <xdr:to>
      <xdr:col>2</xdr:col>
      <xdr:colOff>3265</xdr:colOff>
      <xdr:row>127</xdr:row>
      <xdr:rowOff>639535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178</xdr:row>
      <xdr:rowOff>7620</xdr:rowOff>
    </xdr:from>
    <xdr:to>
      <xdr:col>1</xdr:col>
      <xdr:colOff>1219200</xdr:colOff>
      <xdr:row>178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180</xdr:row>
      <xdr:rowOff>30480</xdr:rowOff>
    </xdr:from>
    <xdr:to>
      <xdr:col>1</xdr:col>
      <xdr:colOff>1234440</xdr:colOff>
      <xdr:row>180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179</xdr:row>
      <xdr:rowOff>30480</xdr:rowOff>
    </xdr:from>
    <xdr:to>
      <xdr:col>1</xdr:col>
      <xdr:colOff>1203960</xdr:colOff>
      <xdr:row>179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174</xdr:row>
      <xdr:rowOff>0</xdr:rowOff>
    </xdr:from>
    <xdr:to>
      <xdr:col>1</xdr:col>
      <xdr:colOff>1244600</xdr:colOff>
      <xdr:row>174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183</xdr:row>
      <xdr:rowOff>45720</xdr:rowOff>
    </xdr:from>
    <xdr:to>
      <xdr:col>1</xdr:col>
      <xdr:colOff>1257300</xdr:colOff>
      <xdr:row>183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184</xdr:row>
      <xdr:rowOff>7620</xdr:rowOff>
    </xdr:from>
    <xdr:to>
      <xdr:col>1</xdr:col>
      <xdr:colOff>1211580</xdr:colOff>
      <xdr:row>185</xdr:row>
      <xdr:rowOff>0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185</xdr:row>
      <xdr:rowOff>30480</xdr:rowOff>
    </xdr:from>
    <xdr:to>
      <xdr:col>1</xdr:col>
      <xdr:colOff>1173480</xdr:colOff>
      <xdr:row>185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182</xdr:row>
      <xdr:rowOff>7620</xdr:rowOff>
    </xdr:from>
    <xdr:to>
      <xdr:col>1</xdr:col>
      <xdr:colOff>1249680</xdr:colOff>
      <xdr:row>182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191</xdr:row>
      <xdr:rowOff>22860</xdr:rowOff>
    </xdr:from>
    <xdr:to>
      <xdr:col>1</xdr:col>
      <xdr:colOff>1135380</xdr:colOff>
      <xdr:row>191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192</xdr:row>
      <xdr:rowOff>30480</xdr:rowOff>
    </xdr:from>
    <xdr:to>
      <xdr:col>1</xdr:col>
      <xdr:colOff>1104900</xdr:colOff>
      <xdr:row>192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187</xdr:row>
      <xdr:rowOff>83820</xdr:rowOff>
    </xdr:from>
    <xdr:to>
      <xdr:col>1</xdr:col>
      <xdr:colOff>1097280</xdr:colOff>
      <xdr:row>187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190</xdr:row>
      <xdr:rowOff>91440</xdr:rowOff>
    </xdr:from>
    <xdr:to>
      <xdr:col>1</xdr:col>
      <xdr:colOff>990600</xdr:colOff>
      <xdr:row>190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176</xdr:row>
      <xdr:rowOff>30480</xdr:rowOff>
    </xdr:from>
    <xdr:to>
      <xdr:col>1</xdr:col>
      <xdr:colOff>1280160</xdr:colOff>
      <xdr:row>176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177</xdr:row>
      <xdr:rowOff>30480</xdr:rowOff>
    </xdr:from>
    <xdr:to>
      <xdr:col>1</xdr:col>
      <xdr:colOff>1165860</xdr:colOff>
      <xdr:row>178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181</xdr:row>
      <xdr:rowOff>68580</xdr:rowOff>
    </xdr:from>
    <xdr:to>
      <xdr:col>1</xdr:col>
      <xdr:colOff>1257300</xdr:colOff>
      <xdr:row>182</xdr:row>
      <xdr:rowOff>1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188</xdr:row>
      <xdr:rowOff>38100</xdr:rowOff>
    </xdr:from>
    <xdr:to>
      <xdr:col>1</xdr:col>
      <xdr:colOff>1051560</xdr:colOff>
      <xdr:row>188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8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189</xdr:row>
      <xdr:rowOff>22860</xdr:rowOff>
    </xdr:from>
    <xdr:to>
      <xdr:col>1</xdr:col>
      <xdr:colOff>1082040</xdr:colOff>
      <xdr:row>190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151</xdr:row>
      <xdr:rowOff>0</xdr:rowOff>
    </xdr:from>
    <xdr:to>
      <xdr:col>2</xdr:col>
      <xdr:colOff>3265</xdr:colOff>
      <xdr:row>153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3265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3265</xdr:colOff>
      <xdr:row>18</xdr:row>
      <xdr:rowOff>22861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18</xdr:row>
      <xdr:rowOff>0</xdr:rowOff>
    </xdr:from>
    <xdr:to>
      <xdr:col>2</xdr:col>
      <xdr:colOff>3265</xdr:colOff>
      <xdr:row>19</xdr:row>
      <xdr:rowOff>7619</xdr:rowOff>
    </xdr:to>
    <xdr:pic>
      <xdr:nvPicPr>
        <xdr:cNvPr id="74089" name="Рисунок 1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27660" y="86334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4090" name="Рисунок 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5280" y="1080516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134</xdr:row>
      <xdr:rowOff>7620</xdr:rowOff>
    </xdr:from>
    <xdr:to>
      <xdr:col>2</xdr:col>
      <xdr:colOff>3265</xdr:colOff>
      <xdr:row>135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609600</xdr:rowOff>
    </xdr:from>
    <xdr:to>
      <xdr:col>2</xdr:col>
      <xdr:colOff>0</xdr:colOff>
      <xdr:row>137</xdr:row>
      <xdr:rowOff>609599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30480</xdr:rowOff>
    </xdr:from>
    <xdr:to>
      <xdr:col>2</xdr:col>
      <xdr:colOff>22860</xdr:colOff>
      <xdr:row>137</xdr:row>
      <xdr:rowOff>7619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7620</xdr:colOff>
      <xdr:row>136</xdr:row>
      <xdr:rowOff>30481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22860</xdr:colOff>
      <xdr:row>131</xdr:row>
      <xdr:rowOff>0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132</xdr:row>
      <xdr:rowOff>0</xdr:rowOff>
    </xdr:from>
    <xdr:to>
      <xdr:col>2</xdr:col>
      <xdr:colOff>3265</xdr:colOff>
      <xdr:row>133</xdr:row>
      <xdr:rowOff>0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29</xdr:row>
      <xdr:rowOff>721178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5170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56</xdr:row>
      <xdr:rowOff>721178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5170</xdr:colOff>
      <xdr:row>131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1550035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19050</xdr:colOff>
          <xdr:row>96</xdr:row>
          <xdr:rowOff>361950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125</xdr:row>
          <xdr:rowOff>9525</xdr:rowOff>
        </xdr:from>
        <xdr:to>
          <xdr:col>2</xdr:col>
          <xdr:colOff>9525</xdr:colOff>
          <xdr:row>125</xdr:row>
          <xdr:rowOff>581025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25400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5170</xdr:colOff>
      <xdr:row>105</xdr:row>
      <xdr:rowOff>43180</xdr:rowOff>
    </xdr:to>
    <xdr:pic>
      <xdr:nvPicPr>
        <xdr:cNvPr id="134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13760"/>
          <a:ext cx="15849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1550035</xdr:colOff>
      <xdr:row>106</xdr:row>
      <xdr:rowOff>38100</xdr:rowOff>
    </xdr:to>
    <xdr:pic>
      <xdr:nvPicPr>
        <xdr:cNvPr id="135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935120"/>
          <a:ext cx="159766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40640</xdr:rowOff>
    </xdr:from>
    <xdr:to>
      <xdr:col>2</xdr:col>
      <xdr:colOff>5805</xdr:colOff>
      <xdr:row>106</xdr:row>
      <xdr:rowOff>713740</xdr:rowOff>
    </xdr:to>
    <xdr:pic>
      <xdr:nvPicPr>
        <xdr:cNvPr id="1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286400"/>
          <a:ext cx="159512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5170</xdr:colOff>
      <xdr:row>108</xdr:row>
      <xdr:rowOff>30479</xdr:rowOff>
    </xdr:to>
    <xdr:pic>
      <xdr:nvPicPr>
        <xdr:cNvPr id="1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96712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332740</xdr:colOff>
      <xdr:row>108</xdr:row>
      <xdr:rowOff>27940</xdr:rowOff>
    </xdr:from>
    <xdr:to>
      <xdr:col>2</xdr:col>
      <xdr:colOff>5170</xdr:colOff>
      <xdr:row>109</xdr:row>
      <xdr:rowOff>12701</xdr:rowOff>
    </xdr:to>
    <xdr:pic>
      <xdr:nvPicPr>
        <xdr:cNvPr id="138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32740" y="57716420"/>
          <a:ext cx="1587500" cy="70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102</xdr:row>
      <xdr:rowOff>718820</xdr:rowOff>
    </xdr:from>
    <xdr:to>
      <xdr:col>2</xdr:col>
      <xdr:colOff>10160</xdr:colOff>
      <xdr:row>104</xdr:row>
      <xdr:rowOff>12699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54079140"/>
          <a:ext cx="159766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4535</xdr:colOff>
      <xdr:row>110</xdr:row>
      <xdr:rowOff>38099</xdr:rowOff>
    </xdr:to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8409840"/>
          <a:ext cx="157480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5170</xdr:colOff>
      <xdr:row>111</xdr:row>
      <xdr:rowOff>30480</xdr:rowOff>
    </xdr:to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1312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2630</xdr:colOff>
      <xdr:row>112</xdr:row>
      <xdr:rowOff>50800</xdr:rowOff>
    </xdr:to>
    <xdr:pic>
      <xdr:nvPicPr>
        <xdr:cNvPr id="144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852560"/>
          <a:ext cx="158242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1550035</xdr:colOff>
      <xdr:row>113</xdr:row>
      <xdr:rowOff>30480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739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1550035</xdr:colOff>
      <xdr:row>114</xdr:row>
      <xdr:rowOff>50801</xdr:rowOff>
    </xdr:to>
    <xdr:pic>
      <xdr:nvPicPr>
        <xdr:cNvPr id="146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1295280"/>
          <a:ext cx="159766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1550035</xdr:colOff>
      <xdr:row>115</xdr:row>
      <xdr:rowOff>43179</xdr:rowOff>
    </xdr:to>
    <xdr:pic>
      <xdr:nvPicPr>
        <xdr:cNvPr id="147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016640"/>
          <a:ext cx="15976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5170</xdr:colOff>
      <xdr:row>116</xdr:row>
      <xdr:rowOff>30481</xdr:rowOff>
    </xdr:to>
    <xdr:pic>
      <xdr:nvPicPr>
        <xdr:cNvPr id="148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7380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9525</xdr:rowOff>
        </xdr:from>
        <xdr:to>
          <xdr:col>2</xdr:col>
          <xdr:colOff>19050</xdr:colOff>
          <xdr:row>117</xdr:row>
          <xdr:rowOff>28574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43180</xdr:rowOff>
    </xdr:to>
    <xdr:pic>
      <xdr:nvPicPr>
        <xdr:cNvPr id="150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180720"/>
          <a:ext cx="160528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1550035</xdr:colOff>
      <xdr:row>119</xdr:row>
      <xdr:rowOff>30480</xdr:rowOff>
    </xdr:to>
    <xdr:pic>
      <xdr:nvPicPr>
        <xdr:cNvPr id="152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90208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40"/>
  <sheetViews>
    <sheetView tabSelected="1" topLeftCell="A7" zoomScale="70" zoomScaleNormal="70" workbookViewId="0">
      <selection activeCell="J7" sqref="J7"/>
    </sheetView>
  </sheetViews>
  <sheetFormatPr defaultColWidth="9.140625" defaultRowHeight="18.75"/>
  <cols>
    <col min="1" max="1" width="4.85546875" style="66" customWidth="1"/>
    <col min="2" max="2" width="23.28515625" style="5" customWidth="1"/>
    <col min="3" max="3" width="28.28515625" style="5" customWidth="1"/>
    <col min="4" max="4" width="10.85546875" style="67" customWidth="1"/>
    <col min="5" max="5" width="20.42578125" style="5" customWidth="1"/>
    <col min="6" max="6" width="10.7109375" style="5" customWidth="1"/>
    <col min="7" max="7" width="12.140625" style="5" bestFit="1" customWidth="1"/>
    <col min="8" max="8" width="13.140625" style="5" customWidth="1"/>
    <col min="9" max="9" width="14.28515625" style="5" customWidth="1"/>
    <col min="10" max="10" width="25.28515625" style="5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2.140625" style="5" hidden="1" customWidth="1"/>
    <col min="15" max="15" width="11.85546875" style="5" hidden="1" customWidth="1"/>
    <col min="16" max="16" width="6.7109375" style="5" hidden="1" customWidth="1"/>
    <col min="17" max="17" width="7.7109375" style="5" hidden="1" customWidth="1"/>
    <col min="18" max="18" width="7.7109375" style="68" hidden="1" customWidth="1"/>
    <col min="19" max="19" width="13.28515625" style="5" customWidth="1"/>
    <col min="20" max="20" width="10.140625" style="5" customWidth="1"/>
    <col min="21" max="26" width="9.140625" style="5" customWidth="1"/>
    <col min="27" max="16384" width="9.140625" style="5"/>
  </cols>
  <sheetData>
    <row r="1" spans="1:27" s="75" customFormat="1" ht="20.25">
      <c r="A1" s="66"/>
      <c r="D1" s="67"/>
      <c r="J1" s="439"/>
      <c r="K1" s="448"/>
      <c r="L1" s="440"/>
      <c r="R1" s="68"/>
      <c r="W1" s="599"/>
      <c r="X1" s="599"/>
      <c r="Y1" s="599"/>
      <c r="Z1" s="599"/>
    </row>
    <row r="2" spans="1:27" s="75" customFormat="1" ht="20.25">
      <c r="A2" s="66"/>
      <c r="D2" s="67"/>
      <c r="J2" s="437"/>
      <c r="K2" s="449"/>
      <c r="L2" s="440"/>
      <c r="R2" s="68"/>
      <c r="W2" s="600"/>
      <c r="X2" s="600"/>
      <c r="Y2" s="600"/>
      <c r="Z2" s="600"/>
      <c r="AA2" s="437"/>
    </row>
    <row r="3" spans="1:27" s="75" customFormat="1" ht="20.25">
      <c r="A3" s="66"/>
      <c r="D3" s="67"/>
      <c r="J3" s="438"/>
      <c r="K3" s="449"/>
      <c r="L3" s="440"/>
      <c r="R3" s="68"/>
      <c r="W3" s="600"/>
      <c r="X3" s="600"/>
      <c r="Y3" s="600"/>
      <c r="Z3" s="600"/>
      <c r="AA3" s="438"/>
    </row>
    <row r="4" spans="1:27" s="75" customFormat="1" ht="20.25">
      <c r="A4" s="66"/>
      <c r="D4" s="67"/>
      <c r="J4" s="438"/>
      <c r="K4" s="449"/>
      <c r="L4" s="440"/>
      <c r="R4" s="68"/>
      <c r="W4" s="600"/>
      <c r="X4" s="600"/>
      <c r="Y4" s="600"/>
      <c r="Z4" s="600"/>
      <c r="AA4" s="438"/>
    </row>
    <row r="5" spans="1:27" s="75" customFormat="1" ht="28.5" customHeight="1">
      <c r="A5" s="601"/>
      <c r="B5" s="601"/>
      <c r="C5" s="601"/>
      <c r="D5" s="601"/>
      <c r="E5" s="601"/>
      <c r="F5" s="601"/>
      <c r="G5" s="601"/>
      <c r="H5" s="601"/>
      <c r="I5" s="601"/>
      <c r="J5" s="438"/>
      <c r="R5" s="68"/>
      <c r="X5" s="438"/>
      <c r="Y5" s="438"/>
      <c r="Z5" s="438"/>
      <c r="AA5" s="438"/>
    </row>
    <row r="6" spans="1:27" ht="38.25" customHeight="1" thickBot="1">
      <c r="A6" s="635" t="s">
        <v>164</v>
      </c>
      <c r="B6" s="635"/>
      <c r="C6" s="635"/>
      <c r="D6" s="635"/>
      <c r="E6" s="635"/>
      <c r="F6" s="635"/>
      <c r="G6" s="635"/>
      <c r="H6" s="635"/>
      <c r="I6" s="635"/>
      <c r="J6" s="635"/>
      <c r="K6" s="636"/>
      <c r="L6" s="636"/>
      <c r="M6" s="636"/>
    </row>
    <row r="7" spans="1:27" ht="62.25" customHeight="1" thickBot="1">
      <c r="A7" s="637" t="s">
        <v>0</v>
      </c>
      <c r="B7" s="638" t="s">
        <v>5</v>
      </c>
      <c r="C7" s="639"/>
      <c r="D7" s="640"/>
      <c r="E7" s="641" t="s">
        <v>7</v>
      </c>
      <c r="F7" s="641" t="s">
        <v>16</v>
      </c>
      <c r="G7" s="641" t="s">
        <v>165</v>
      </c>
      <c r="H7" s="642" t="s">
        <v>8</v>
      </c>
      <c r="I7" s="641" t="s">
        <v>25</v>
      </c>
      <c r="J7" s="641" t="s">
        <v>177</v>
      </c>
      <c r="K7" s="636">
        <v>1.05</v>
      </c>
      <c r="L7" s="641" t="s">
        <v>119</v>
      </c>
      <c r="M7" s="641" t="s">
        <v>167</v>
      </c>
      <c r="N7" s="6" t="s">
        <v>114</v>
      </c>
      <c r="O7" s="6" t="s">
        <v>115</v>
      </c>
      <c r="P7" s="6" t="s">
        <v>116</v>
      </c>
    </row>
    <row r="8" spans="1:27" s="75" customFormat="1" ht="21.75" thickBot="1">
      <c r="A8" s="643" t="s">
        <v>139</v>
      </c>
      <c r="B8" s="644"/>
      <c r="C8" s="644"/>
      <c r="D8" s="644"/>
      <c r="E8" s="644"/>
      <c r="F8" s="644"/>
      <c r="G8" s="644"/>
      <c r="H8" s="644"/>
      <c r="I8" s="644"/>
      <c r="J8" s="644"/>
      <c r="K8" s="645"/>
      <c r="L8" s="646">
        <v>0</v>
      </c>
      <c r="M8" s="647"/>
      <c r="N8" s="89" t="e">
        <v>#DIV/0!</v>
      </c>
      <c r="O8" s="90" t="e">
        <v>#DIV/0!</v>
      </c>
      <c r="P8" s="88" t="e">
        <v>#DIV/0!</v>
      </c>
      <c r="R8" s="140"/>
    </row>
    <row r="9" spans="1:27" s="7" customFormat="1" ht="15.75" customHeight="1" thickBot="1">
      <c r="A9" s="648" t="s">
        <v>3</v>
      </c>
      <c r="B9" s="649"/>
      <c r="C9" s="649"/>
      <c r="D9" s="649"/>
      <c r="E9" s="649"/>
      <c r="F9" s="649"/>
      <c r="G9" s="649"/>
      <c r="H9" s="649"/>
      <c r="I9" s="649"/>
      <c r="J9" s="649"/>
      <c r="K9" s="650"/>
      <c r="L9" s="650"/>
      <c r="M9" s="651"/>
      <c r="R9" s="69"/>
    </row>
    <row r="10" spans="1:27" ht="60" customHeight="1" thickBot="1">
      <c r="A10" s="652">
        <v>1</v>
      </c>
      <c r="B10" s="653"/>
      <c r="C10" s="654" t="s">
        <v>83</v>
      </c>
      <c r="D10" s="655" t="s">
        <v>78</v>
      </c>
      <c r="E10" s="656" t="s">
        <v>11</v>
      </c>
      <c r="F10" s="657">
        <v>70</v>
      </c>
      <c r="G10" s="658">
        <v>9.42</v>
      </c>
      <c r="H10" s="659">
        <v>1499</v>
      </c>
      <c r="I10" s="660">
        <v>13</v>
      </c>
      <c r="J10" s="661">
        <v>2044</v>
      </c>
      <c r="K10" s="645"/>
      <c r="L10" s="646">
        <v>873.73</v>
      </c>
      <c r="M10" s="663">
        <v>1001</v>
      </c>
      <c r="N10" s="10">
        <v>0.2</v>
      </c>
      <c r="O10" s="11">
        <v>0.1</v>
      </c>
      <c r="P10" s="9">
        <v>3.9960039960039939E-2</v>
      </c>
      <c r="R10" s="70">
        <f>1048*1.1</f>
        <v>1152.8000000000002</v>
      </c>
    </row>
    <row r="11" spans="1:27" ht="15" customHeight="1" thickBot="1">
      <c r="A11" s="664" t="s">
        <v>23</v>
      </c>
      <c r="B11" s="665"/>
      <c r="C11" s="665"/>
      <c r="D11" s="665"/>
      <c r="E11" s="665"/>
      <c r="F11" s="665"/>
      <c r="G11" s="665"/>
      <c r="H11" s="665"/>
      <c r="I11" s="665"/>
      <c r="J11" s="665"/>
      <c r="K11" s="645"/>
      <c r="L11" s="646">
        <v>0</v>
      </c>
      <c r="M11" s="636"/>
      <c r="R11" s="70"/>
    </row>
    <row r="12" spans="1:27" ht="60.75" customHeight="1" thickBot="1">
      <c r="A12" s="666">
        <v>2</v>
      </c>
      <c r="B12" s="667"/>
      <c r="C12" s="668" t="s">
        <v>6</v>
      </c>
      <c r="D12" s="669"/>
      <c r="E12" s="670" t="s">
        <v>24</v>
      </c>
      <c r="F12" s="671">
        <v>60</v>
      </c>
      <c r="G12" s="672">
        <v>13.39</v>
      </c>
      <c r="H12" s="673">
        <v>1734</v>
      </c>
      <c r="I12" s="674">
        <v>11</v>
      </c>
      <c r="J12" s="675">
        <v>1498</v>
      </c>
      <c r="K12" s="645"/>
      <c r="L12" s="646">
        <v>591.53</v>
      </c>
      <c r="M12" s="677">
        <v>665</v>
      </c>
      <c r="N12" s="10">
        <v>0.1</v>
      </c>
      <c r="O12" s="11">
        <v>0.05</v>
      </c>
      <c r="P12" s="9">
        <v>0.02</v>
      </c>
      <c r="R12" s="70">
        <f>710*1.1</f>
        <v>781.00000000000011</v>
      </c>
    </row>
    <row r="13" spans="1:27" ht="58.5" customHeight="1" thickBot="1">
      <c r="A13" s="678"/>
      <c r="B13" s="679"/>
      <c r="C13" s="680" t="s">
        <v>85</v>
      </c>
      <c r="D13" s="681" t="s">
        <v>78</v>
      </c>
      <c r="E13" s="682"/>
      <c r="F13" s="683">
        <v>60</v>
      </c>
      <c r="G13" s="684">
        <v>13.39</v>
      </c>
      <c r="H13" s="685">
        <v>1734</v>
      </c>
      <c r="I13" s="686">
        <v>11</v>
      </c>
      <c r="J13" s="687">
        <v>1833</v>
      </c>
      <c r="K13" s="645"/>
      <c r="L13" s="646">
        <v>782.2</v>
      </c>
      <c r="M13" s="677">
        <v>896</v>
      </c>
      <c r="N13" s="10">
        <v>0.3</v>
      </c>
      <c r="O13" s="11">
        <v>0.1</v>
      </c>
      <c r="P13" s="9">
        <v>0.04</v>
      </c>
      <c r="R13" s="70">
        <f>939*1.1</f>
        <v>1032.9000000000001</v>
      </c>
      <c r="T13" s="13"/>
    </row>
    <row r="14" spans="1:27" ht="15" customHeight="1" thickBot="1">
      <c r="A14" s="648" t="s">
        <v>80</v>
      </c>
      <c r="B14" s="649"/>
      <c r="C14" s="649"/>
      <c r="D14" s="649"/>
      <c r="E14" s="649"/>
      <c r="F14" s="649"/>
      <c r="G14" s="649"/>
      <c r="H14" s="649"/>
      <c r="I14" s="649"/>
      <c r="J14" s="649"/>
      <c r="K14" s="645"/>
      <c r="L14" s="646">
        <v>0</v>
      </c>
      <c r="M14" s="636"/>
      <c r="N14" s="5" t="e">
        <v>#DIV/0!</v>
      </c>
      <c r="O14" s="5" t="e">
        <v>#DIV/0!</v>
      </c>
      <c r="P14" s="5" t="e">
        <v>#DIV/0!</v>
      </c>
      <c r="R14" s="70"/>
    </row>
    <row r="15" spans="1:27" ht="57" customHeight="1" thickBot="1">
      <c r="A15" s="688">
        <v>3</v>
      </c>
      <c r="B15" s="689"/>
      <c r="C15" s="690" t="s">
        <v>168</v>
      </c>
      <c r="D15" s="691" t="s">
        <v>78</v>
      </c>
      <c r="E15" s="692" t="s">
        <v>65</v>
      </c>
      <c r="F15" s="693">
        <v>60</v>
      </c>
      <c r="G15" s="694">
        <v>13.44</v>
      </c>
      <c r="H15" s="695">
        <v>1880</v>
      </c>
      <c r="I15" s="696">
        <v>10</v>
      </c>
      <c r="J15" s="697">
        <v>1142</v>
      </c>
      <c r="K15" s="645"/>
      <c r="L15" s="646">
        <v>450.85</v>
      </c>
      <c r="M15" s="698">
        <v>507</v>
      </c>
      <c r="N15" s="10">
        <v>0.1</v>
      </c>
      <c r="O15" s="11">
        <v>0.03</v>
      </c>
      <c r="P15" s="9">
        <v>0.02</v>
      </c>
      <c r="R15" s="70">
        <f>541*1.1</f>
        <v>595.1</v>
      </c>
    </row>
    <row r="16" spans="1:27" ht="57" customHeight="1">
      <c r="A16" s="699"/>
      <c r="B16" s="700"/>
      <c r="C16" s="701" t="s">
        <v>169</v>
      </c>
      <c r="D16" s="702" t="s">
        <v>78</v>
      </c>
      <c r="E16" s="703"/>
      <c r="F16" s="704"/>
      <c r="G16" s="705"/>
      <c r="H16" s="706"/>
      <c r="I16" s="707"/>
      <c r="J16" s="708">
        <v>1309</v>
      </c>
      <c r="K16" s="645"/>
      <c r="L16" s="709">
        <v>521.19000000000005</v>
      </c>
      <c r="M16" s="708">
        <v>586</v>
      </c>
      <c r="N16" s="10">
        <v>0.15</v>
      </c>
      <c r="O16" s="11">
        <v>0.05</v>
      </c>
      <c r="P16" s="9">
        <v>0.03</v>
      </c>
      <c r="R16" s="70">
        <f>626*1.1</f>
        <v>688.6</v>
      </c>
    </row>
    <row r="17" spans="1:18" ht="57" customHeight="1">
      <c r="A17" s="699"/>
      <c r="B17" s="710"/>
      <c r="C17" s="711" t="s">
        <v>170</v>
      </c>
      <c r="D17" s="702" t="s">
        <v>78</v>
      </c>
      <c r="E17" s="703"/>
      <c r="F17" s="704"/>
      <c r="G17" s="705"/>
      <c r="H17" s="706"/>
      <c r="I17" s="707"/>
      <c r="J17" s="712"/>
      <c r="K17" s="645"/>
      <c r="L17" s="709"/>
      <c r="M17" s="712"/>
      <c r="N17" s="10" t="e">
        <v>#DIV/0!</v>
      </c>
      <c r="O17" s="11" t="e">
        <v>#DIV/0!</v>
      </c>
      <c r="P17" s="9" t="e">
        <v>#DIV/0!</v>
      </c>
      <c r="R17" s="70"/>
    </row>
    <row r="18" spans="1:18" ht="57" customHeight="1">
      <c r="A18" s="699"/>
      <c r="B18" s="713"/>
      <c r="C18" s="711" t="s">
        <v>171</v>
      </c>
      <c r="D18" s="702" t="s">
        <v>78</v>
      </c>
      <c r="E18" s="703"/>
      <c r="F18" s="704"/>
      <c r="G18" s="705"/>
      <c r="H18" s="706"/>
      <c r="I18" s="707"/>
      <c r="J18" s="712"/>
      <c r="K18" s="645"/>
      <c r="L18" s="709"/>
      <c r="M18" s="712"/>
      <c r="N18" s="10" t="e">
        <v>#DIV/0!</v>
      </c>
      <c r="O18" s="11" t="e">
        <v>#DIV/0!</v>
      </c>
      <c r="P18" s="9" t="e">
        <v>#DIV/0!</v>
      </c>
      <c r="R18" s="70"/>
    </row>
    <row r="19" spans="1:18" ht="57" customHeight="1">
      <c r="A19" s="699"/>
      <c r="B19" s="714"/>
      <c r="C19" s="715" t="s">
        <v>49</v>
      </c>
      <c r="D19" s="702"/>
      <c r="E19" s="703"/>
      <c r="F19" s="704"/>
      <c r="G19" s="705"/>
      <c r="H19" s="706"/>
      <c r="I19" s="707"/>
      <c r="J19" s="712"/>
      <c r="K19" s="645"/>
      <c r="L19" s="709"/>
      <c r="M19" s="712"/>
      <c r="N19" s="10" t="e">
        <v>#DIV/0!</v>
      </c>
      <c r="O19" s="11" t="e">
        <v>#DIV/0!</v>
      </c>
      <c r="P19" s="9" t="e">
        <v>#DIV/0!</v>
      </c>
      <c r="R19" s="70"/>
    </row>
    <row r="20" spans="1:18" ht="57" customHeight="1">
      <c r="A20" s="699"/>
      <c r="B20" s="716"/>
      <c r="C20" s="711" t="s">
        <v>172</v>
      </c>
      <c r="D20" s="702" t="s">
        <v>78</v>
      </c>
      <c r="E20" s="703"/>
      <c r="F20" s="704"/>
      <c r="G20" s="705"/>
      <c r="H20" s="706"/>
      <c r="I20" s="707"/>
      <c r="J20" s="712"/>
      <c r="K20" s="645"/>
      <c r="L20" s="709"/>
      <c r="M20" s="712"/>
      <c r="N20" s="10" t="e">
        <v>#DIV/0!</v>
      </c>
      <c r="O20" s="11" t="e">
        <v>#DIV/0!</v>
      </c>
      <c r="P20" s="9" t="e">
        <v>#DIV/0!</v>
      </c>
      <c r="R20" s="70"/>
    </row>
    <row r="21" spans="1:18" ht="57" customHeight="1">
      <c r="A21" s="699"/>
      <c r="B21" s="717"/>
      <c r="C21" s="711" t="s">
        <v>47</v>
      </c>
      <c r="D21" s="702"/>
      <c r="E21" s="718" t="s">
        <v>66</v>
      </c>
      <c r="F21" s="704"/>
      <c r="G21" s="719">
        <v>11.4</v>
      </c>
      <c r="H21" s="720">
        <v>1606</v>
      </c>
      <c r="I21" s="721">
        <v>12</v>
      </c>
      <c r="J21" s="712"/>
      <c r="K21" s="645"/>
      <c r="L21" s="709"/>
      <c r="M21" s="712"/>
      <c r="N21" s="10" t="e">
        <v>#DIV/0!</v>
      </c>
      <c r="O21" s="11" t="e">
        <v>#DIV/0!</v>
      </c>
      <c r="P21" s="9" t="e">
        <v>#DIV/0!</v>
      </c>
      <c r="R21" s="70"/>
    </row>
    <row r="22" spans="1:18" ht="57" customHeight="1">
      <c r="A22" s="699"/>
      <c r="B22" s="722"/>
      <c r="C22" s="715" t="s">
        <v>52</v>
      </c>
      <c r="D22" s="702"/>
      <c r="E22" s="703"/>
      <c r="F22" s="704"/>
      <c r="G22" s="705"/>
      <c r="H22" s="706"/>
      <c r="I22" s="707"/>
      <c r="J22" s="712"/>
      <c r="K22" s="645"/>
      <c r="L22" s="709"/>
      <c r="M22" s="712"/>
      <c r="N22" s="10" t="e">
        <v>#DIV/0!</v>
      </c>
      <c r="O22" s="11" t="e">
        <v>#DIV/0!</v>
      </c>
      <c r="P22" s="9" t="e">
        <v>#DIV/0!</v>
      </c>
      <c r="R22" s="70"/>
    </row>
    <row r="23" spans="1:18" ht="57" customHeight="1" thickBot="1">
      <c r="A23" s="699"/>
      <c r="B23" s="723"/>
      <c r="C23" s="711" t="s">
        <v>173</v>
      </c>
      <c r="D23" s="702" t="s">
        <v>78</v>
      </c>
      <c r="E23" s="703"/>
      <c r="F23" s="704"/>
      <c r="G23" s="705"/>
      <c r="H23" s="706"/>
      <c r="I23" s="707"/>
      <c r="J23" s="712"/>
      <c r="K23" s="645"/>
      <c r="L23" s="709"/>
      <c r="M23" s="724"/>
      <c r="N23" s="10" t="e">
        <v>#DIV/0!</v>
      </c>
      <c r="O23" s="11" t="e">
        <v>#DIV/0!</v>
      </c>
      <c r="P23" s="9" t="e">
        <v>#DIV/0!</v>
      </c>
      <c r="R23" s="70"/>
    </row>
    <row r="24" spans="1:18" ht="57" customHeight="1" thickBot="1">
      <c r="A24" s="699"/>
      <c r="B24" s="725"/>
      <c r="C24" s="726" t="s">
        <v>48</v>
      </c>
      <c r="D24" s="727"/>
      <c r="E24" s="703"/>
      <c r="F24" s="704"/>
      <c r="G24" s="705"/>
      <c r="H24" s="706"/>
      <c r="I24" s="707"/>
      <c r="J24" s="724"/>
      <c r="K24" s="645"/>
      <c r="L24" s="646">
        <v>726.27</v>
      </c>
      <c r="M24" s="728">
        <v>816</v>
      </c>
      <c r="N24" s="10">
        <v>0.15</v>
      </c>
      <c r="O24" s="11">
        <v>0.05</v>
      </c>
      <c r="P24" s="9">
        <v>0.03</v>
      </c>
      <c r="R24" s="70">
        <f>872*1.1</f>
        <v>959.2</v>
      </c>
    </row>
    <row r="25" spans="1:18" ht="57" customHeight="1">
      <c r="A25" s="699"/>
      <c r="B25" s="729"/>
      <c r="C25" s="730" t="s">
        <v>174</v>
      </c>
      <c r="D25" s="669" t="s">
        <v>78</v>
      </c>
      <c r="E25" s="703"/>
      <c r="F25" s="704"/>
      <c r="G25" s="705"/>
      <c r="H25" s="706"/>
      <c r="I25" s="707"/>
      <c r="J25" s="708">
        <v>1887</v>
      </c>
      <c r="K25" s="645"/>
      <c r="L25" s="709">
        <v>805.08</v>
      </c>
      <c r="M25" s="708">
        <v>922</v>
      </c>
      <c r="N25" s="10">
        <v>0.3</v>
      </c>
      <c r="O25" s="11">
        <v>0.1</v>
      </c>
      <c r="P25" s="9">
        <v>0.04</v>
      </c>
      <c r="R25" s="70">
        <f>967*1.1</f>
        <v>1063.7</v>
      </c>
    </row>
    <row r="26" spans="1:18" ht="57" customHeight="1">
      <c r="A26" s="699"/>
      <c r="B26" s="731"/>
      <c r="C26" s="711" t="s">
        <v>175</v>
      </c>
      <c r="D26" s="732" t="s">
        <v>78</v>
      </c>
      <c r="E26" s="703"/>
      <c r="F26" s="704"/>
      <c r="G26" s="705"/>
      <c r="H26" s="706"/>
      <c r="I26" s="707"/>
      <c r="J26" s="712"/>
      <c r="K26" s="645"/>
      <c r="L26" s="709"/>
      <c r="M26" s="712"/>
      <c r="N26" s="10" t="e">
        <v>#DIV/0!</v>
      </c>
      <c r="O26" s="11" t="e">
        <v>#DIV/0!</v>
      </c>
      <c r="P26" s="9" t="e">
        <v>#DIV/0!</v>
      </c>
      <c r="R26" s="70"/>
    </row>
    <row r="27" spans="1:18" ht="57" customHeight="1" thickBot="1">
      <c r="A27" s="733"/>
      <c r="B27" s="734"/>
      <c r="C27" s="735" t="s">
        <v>87</v>
      </c>
      <c r="D27" s="681"/>
      <c r="E27" s="736"/>
      <c r="F27" s="737"/>
      <c r="G27" s="738"/>
      <c r="H27" s="739"/>
      <c r="I27" s="740"/>
      <c r="J27" s="724"/>
      <c r="K27" s="645"/>
      <c r="L27" s="709"/>
      <c r="M27" s="724"/>
      <c r="N27" s="10" t="e">
        <v>#DIV/0!</v>
      </c>
      <c r="O27" s="11" t="e">
        <v>#DIV/0!</v>
      </c>
      <c r="P27" s="9" t="e">
        <v>#DIV/0!</v>
      </c>
      <c r="R27" s="70"/>
    </row>
    <row r="28" spans="1:18" s="75" customFormat="1" ht="25.15" customHeight="1" thickBot="1">
      <c r="A28" s="741" t="s">
        <v>157</v>
      </c>
      <c r="B28" s="742"/>
      <c r="C28" s="742"/>
      <c r="D28" s="742"/>
      <c r="E28" s="742"/>
      <c r="F28" s="742"/>
      <c r="G28" s="742"/>
      <c r="H28" s="742"/>
      <c r="I28" s="742"/>
      <c r="J28" s="742"/>
      <c r="K28" s="645"/>
      <c r="L28" s="743"/>
      <c r="M28" s="744"/>
      <c r="N28" s="89"/>
      <c r="O28" s="90"/>
      <c r="P28" s="88"/>
      <c r="R28" s="140"/>
    </row>
    <row r="29" spans="1:18" s="75" customFormat="1" ht="57" customHeight="1" thickBot="1">
      <c r="A29" s="745">
        <v>5</v>
      </c>
      <c r="B29" s="746"/>
      <c r="C29" s="690" t="s">
        <v>50</v>
      </c>
      <c r="D29" s="669" t="s">
        <v>78</v>
      </c>
      <c r="E29" s="747" t="s">
        <v>158</v>
      </c>
      <c r="F29" s="748">
        <v>40</v>
      </c>
      <c r="G29" s="749">
        <v>19</v>
      </c>
      <c r="H29" s="750">
        <v>1704</v>
      </c>
      <c r="I29" s="751">
        <v>11</v>
      </c>
      <c r="J29" s="677">
        <v>1082</v>
      </c>
      <c r="K29" s="645"/>
      <c r="L29" s="743"/>
      <c r="M29" s="744"/>
      <c r="N29" s="89"/>
      <c r="O29" s="90"/>
      <c r="P29" s="88"/>
      <c r="R29" s="140"/>
    </row>
    <row r="30" spans="1:18" s="75" customFormat="1" ht="57" customHeight="1" thickBot="1">
      <c r="A30" s="752"/>
      <c r="B30" s="753"/>
      <c r="C30" s="754" t="s">
        <v>38</v>
      </c>
      <c r="D30" s="732" t="s">
        <v>78</v>
      </c>
      <c r="E30" s="755"/>
      <c r="F30" s="756"/>
      <c r="G30" s="757"/>
      <c r="H30" s="758"/>
      <c r="I30" s="759"/>
      <c r="J30" s="677">
        <v>1082</v>
      </c>
      <c r="K30" s="645"/>
      <c r="L30" s="743"/>
      <c r="M30" s="744"/>
      <c r="N30" s="89"/>
      <c r="O30" s="90"/>
      <c r="P30" s="88"/>
      <c r="R30" s="140"/>
    </row>
    <row r="31" spans="1:18" s="75" customFormat="1" ht="57" customHeight="1" thickBot="1">
      <c r="A31" s="752"/>
      <c r="B31" s="753"/>
      <c r="C31" s="754" t="s">
        <v>44</v>
      </c>
      <c r="D31" s="732" t="s">
        <v>78</v>
      </c>
      <c r="E31" s="755"/>
      <c r="F31" s="756"/>
      <c r="G31" s="757"/>
      <c r="H31" s="758"/>
      <c r="I31" s="759"/>
      <c r="J31" s="677">
        <v>1082</v>
      </c>
      <c r="K31" s="645"/>
      <c r="L31" s="743"/>
      <c r="M31" s="744"/>
      <c r="N31" s="89"/>
      <c r="O31" s="90"/>
      <c r="P31" s="88"/>
      <c r="R31" s="140"/>
    </row>
    <row r="32" spans="1:18" s="75" customFormat="1" ht="57" customHeight="1" thickBot="1">
      <c r="A32" s="760"/>
      <c r="B32" s="753"/>
      <c r="C32" s="761" t="s">
        <v>86</v>
      </c>
      <c r="D32" s="681" t="s">
        <v>78</v>
      </c>
      <c r="E32" s="762"/>
      <c r="F32" s="763"/>
      <c r="G32" s="764"/>
      <c r="H32" s="765"/>
      <c r="I32" s="766"/>
      <c r="J32" s="698">
        <v>1494</v>
      </c>
      <c r="K32" s="645"/>
      <c r="L32" s="743"/>
      <c r="M32" s="744"/>
      <c r="N32" s="89"/>
      <c r="O32" s="90"/>
      <c r="P32" s="88"/>
      <c r="R32" s="140"/>
    </row>
    <row r="33" spans="1:18" ht="15" customHeight="1" thickBot="1">
      <c r="A33" s="648" t="s">
        <v>61</v>
      </c>
      <c r="B33" s="649"/>
      <c r="C33" s="649"/>
      <c r="D33" s="649"/>
      <c r="E33" s="649"/>
      <c r="F33" s="649"/>
      <c r="G33" s="649"/>
      <c r="H33" s="649"/>
      <c r="I33" s="649"/>
      <c r="J33" s="649"/>
      <c r="K33" s="645"/>
      <c r="L33" s="646">
        <v>0</v>
      </c>
      <c r="M33" s="767"/>
      <c r="N33" s="10" t="e">
        <v>#DIV/0!</v>
      </c>
      <c r="O33" s="11" t="e">
        <v>#DIV/0!</v>
      </c>
      <c r="P33" s="9" t="e">
        <v>#DIV/0!</v>
      </c>
      <c r="R33" s="70"/>
    </row>
    <row r="34" spans="1:18" s="75" customFormat="1" ht="56.25" customHeight="1" thickBot="1">
      <c r="A34" s="688">
        <v>5</v>
      </c>
      <c r="B34" s="768"/>
      <c r="C34" s="769" t="s">
        <v>6</v>
      </c>
      <c r="D34" s="770"/>
      <c r="E34" s="747" t="s">
        <v>153</v>
      </c>
      <c r="F34" s="748">
        <v>60</v>
      </c>
      <c r="G34" s="658">
        <v>11.29</v>
      </c>
      <c r="H34" s="659">
        <v>1606</v>
      </c>
      <c r="I34" s="660">
        <v>12</v>
      </c>
      <c r="J34" s="661">
        <v>1325</v>
      </c>
      <c r="K34" s="645"/>
      <c r="L34" s="646"/>
      <c r="M34" s="771"/>
      <c r="N34" s="89"/>
      <c r="O34" s="90"/>
      <c r="P34" s="88"/>
      <c r="R34" s="140"/>
    </row>
    <row r="35" spans="1:18" ht="60" customHeight="1" thickBot="1">
      <c r="A35" s="699"/>
      <c r="B35" s="772"/>
      <c r="C35" s="668" t="s">
        <v>68</v>
      </c>
      <c r="D35" s="669" t="s">
        <v>78</v>
      </c>
      <c r="E35" s="773"/>
      <c r="F35" s="756"/>
      <c r="G35" s="774">
        <v>11.29</v>
      </c>
      <c r="H35" s="775">
        <v>1606</v>
      </c>
      <c r="I35" s="776">
        <v>12</v>
      </c>
      <c r="J35" s="675">
        <v>2044</v>
      </c>
      <c r="K35" s="645"/>
      <c r="L35" s="646">
        <v>873.73</v>
      </c>
      <c r="M35" s="777">
        <v>1001</v>
      </c>
      <c r="N35" s="10">
        <v>0.3</v>
      </c>
      <c r="O35" s="11">
        <v>0.1</v>
      </c>
      <c r="P35" s="9">
        <v>3.9960039960039939E-2</v>
      </c>
      <c r="R35" s="70">
        <f>1048*1.1</f>
        <v>1152.8000000000002</v>
      </c>
    </row>
    <row r="36" spans="1:18" ht="60" customHeight="1" thickBot="1">
      <c r="A36" s="699"/>
      <c r="B36" s="715"/>
      <c r="C36" s="778" t="s">
        <v>83</v>
      </c>
      <c r="D36" s="732" t="s">
        <v>78</v>
      </c>
      <c r="E36" s="773"/>
      <c r="F36" s="756"/>
      <c r="G36" s="779">
        <v>11.29</v>
      </c>
      <c r="H36" s="780">
        <v>1606</v>
      </c>
      <c r="I36" s="781">
        <v>12</v>
      </c>
      <c r="J36" s="675">
        <v>2044</v>
      </c>
      <c r="K36" s="645"/>
      <c r="L36" s="646">
        <v>873.73</v>
      </c>
      <c r="M36" s="777">
        <v>1001</v>
      </c>
      <c r="N36" s="10">
        <v>0.3</v>
      </c>
      <c r="O36" s="11">
        <v>0.1</v>
      </c>
      <c r="P36" s="9">
        <v>3.9960039960039939E-2</v>
      </c>
      <c r="R36" s="70"/>
    </row>
    <row r="37" spans="1:18" ht="60" customHeight="1" thickBot="1">
      <c r="A37" s="699"/>
      <c r="B37" s="784"/>
      <c r="C37" s="778" t="s">
        <v>84</v>
      </c>
      <c r="D37" s="732"/>
      <c r="E37" s="773"/>
      <c r="F37" s="756"/>
      <c r="G37" s="779">
        <v>11.29</v>
      </c>
      <c r="H37" s="780">
        <v>1606</v>
      </c>
      <c r="I37" s="781">
        <v>12</v>
      </c>
      <c r="J37" s="675">
        <v>2044</v>
      </c>
      <c r="K37" s="645"/>
      <c r="L37" s="646">
        <v>873.73</v>
      </c>
      <c r="M37" s="777">
        <v>1001</v>
      </c>
      <c r="N37" s="10">
        <v>0.3</v>
      </c>
      <c r="O37" s="11">
        <v>0.1</v>
      </c>
      <c r="P37" s="9">
        <v>3.9960039960039939E-2</v>
      </c>
      <c r="R37" s="70"/>
    </row>
    <row r="38" spans="1:18" ht="60" customHeight="1" thickBot="1">
      <c r="A38" s="733"/>
      <c r="B38" s="785"/>
      <c r="C38" s="680" t="s">
        <v>70</v>
      </c>
      <c r="D38" s="681" t="s">
        <v>78</v>
      </c>
      <c r="E38" s="786"/>
      <c r="F38" s="763"/>
      <c r="G38" s="684">
        <v>11.29</v>
      </c>
      <c r="H38" s="685">
        <v>1606</v>
      </c>
      <c r="I38" s="787">
        <v>12</v>
      </c>
      <c r="J38" s="675">
        <v>2044</v>
      </c>
      <c r="K38" s="645"/>
      <c r="L38" s="646">
        <v>873.73</v>
      </c>
      <c r="M38" s="777">
        <v>1001</v>
      </c>
      <c r="N38" s="10">
        <v>0.3</v>
      </c>
      <c r="O38" s="11">
        <v>0.1</v>
      </c>
      <c r="P38" s="9">
        <v>3.9960039960039939E-2</v>
      </c>
      <c r="R38" s="70"/>
    </row>
    <row r="39" spans="1:18" ht="15" customHeight="1" thickBot="1">
      <c r="A39" s="648" t="s">
        <v>62</v>
      </c>
      <c r="B39" s="649"/>
      <c r="C39" s="649"/>
      <c r="D39" s="788"/>
      <c r="E39" s="649"/>
      <c r="F39" s="649"/>
      <c r="G39" s="649"/>
      <c r="H39" s="649"/>
      <c r="I39" s="649"/>
      <c r="J39" s="649"/>
      <c r="K39" s="645"/>
      <c r="L39" s="646">
        <v>0</v>
      </c>
      <c r="M39" s="789"/>
      <c r="N39" s="10" t="e">
        <v>#DIV/0!</v>
      </c>
      <c r="O39" s="11" t="e">
        <v>#DIV/0!</v>
      </c>
      <c r="P39" s="9" t="e">
        <v>#DIV/0!</v>
      </c>
      <c r="R39" s="70"/>
    </row>
    <row r="40" spans="1:18" ht="57" customHeight="1" thickBot="1">
      <c r="A40" s="666">
        <v>6</v>
      </c>
      <c r="B40" s="790"/>
      <c r="C40" s="791" t="s">
        <v>6</v>
      </c>
      <c r="D40" s="655"/>
      <c r="E40" s="747" t="s">
        <v>67</v>
      </c>
      <c r="F40" s="693">
        <v>60</v>
      </c>
      <c r="G40" s="792">
        <v>11.52</v>
      </c>
      <c r="H40" s="659">
        <v>1635</v>
      </c>
      <c r="I40" s="660">
        <v>12</v>
      </c>
      <c r="J40" s="661">
        <v>1325</v>
      </c>
      <c r="K40" s="645"/>
      <c r="L40" s="646">
        <v>501.69</v>
      </c>
      <c r="M40" s="793">
        <v>564</v>
      </c>
      <c r="N40" s="10">
        <v>0.15</v>
      </c>
      <c r="O40" s="11">
        <v>0.05</v>
      </c>
      <c r="P40" s="9">
        <v>0.02</v>
      </c>
      <c r="R40" s="70">
        <f>602*1.1</f>
        <v>662.2</v>
      </c>
    </row>
    <row r="41" spans="1:18" ht="57" customHeight="1">
      <c r="A41" s="794"/>
      <c r="B41" s="795"/>
      <c r="C41" s="796" t="s">
        <v>69</v>
      </c>
      <c r="D41" s="797"/>
      <c r="E41" s="755"/>
      <c r="F41" s="704"/>
      <c r="G41" s="774">
        <v>11.52</v>
      </c>
      <c r="H41" s="775">
        <v>1635</v>
      </c>
      <c r="I41" s="776">
        <v>12</v>
      </c>
      <c r="J41" s="675">
        <v>2044</v>
      </c>
      <c r="K41" s="645"/>
      <c r="L41" s="646">
        <v>873.73</v>
      </c>
      <c r="M41" s="777">
        <v>1001</v>
      </c>
      <c r="N41" s="10">
        <v>0.3</v>
      </c>
      <c r="O41" s="11">
        <v>0.1</v>
      </c>
      <c r="P41" s="9">
        <v>3.9960039960039939E-2</v>
      </c>
      <c r="R41" s="70">
        <f>1048*1.1</f>
        <v>1152.8000000000002</v>
      </c>
    </row>
    <row r="42" spans="1:18" ht="57" customHeight="1" thickBot="1">
      <c r="A42" s="678"/>
      <c r="B42" s="798"/>
      <c r="C42" s="761" t="s">
        <v>88</v>
      </c>
      <c r="D42" s="681" t="s">
        <v>78</v>
      </c>
      <c r="E42" s="762"/>
      <c r="F42" s="737"/>
      <c r="G42" s="684">
        <v>11.52</v>
      </c>
      <c r="H42" s="685">
        <v>1635</v>
      </c>
      <c r="I42" s="787">
        <v>12</v>
      </c>
      <c r="J42" s="687">
        <v>2044</v>
      </c>
      <c r="K42" s="645"/>
      <c r="L42" s="646">
        <v>873.73</v>
      </c>
      <c r="M42" s="777">
        <v>1001</v>
      </c>
      <c r="N42" s="10">
        <v>0.3</v>
      </c>
      <c r="O42" s="11">
        <v>0.1</v>
      </c>
      <c r="P42" s="9">
        <v>3.9960039960039939E-2</v>
      </c>
      <c r="R42" s="70"/>
    </row>
    <row r="43" spans="1:18" ht="15" customHeight="1" thickBot="1">
      <c r="A43" s="648" t="s">
        <v>63</v>
      </c>
      <c r="B43" s="649"/>
      <c r="C43" s="649"/>
      <c r="D43" s="649"/>
      <c r="E43" s="649"/>
      <c r="F43" s="649"/>
      <c r="G43" s="649"/>
      <c r="H43" s="649"/>
      <c r="I43" s="649"/>
      <c r="J43" s="649"/>
      <c r="K43" s="645"/>
      <c r="L43" s="646">
        <v>0</v>
      </c>
      <c r="M43" s="771"/>
      <c r="N43" s="10" t="e">
        <v>#DIV/0!</v>
      </c>
      <c r="O43" s="11" t="e">
        <v>#DIV/0!</v>
      </c>
      <c r="P43" s="9" t="e">
        <v>#DIV/0!</v>
      </c>
      <c r="R43" s="70"/>
    </row>
    <row r="44" spans="1:18" ht="57" customHeight="1" thickBot="1">
      <c r="A44" s="688">
        <v>7</v>
      </c>
      <c r="B44" s="799"/>
      <c r="C44" s="800" t="s">
        <v>6</v>
      </c>
      <c r="D44" s="801"/>
      <c r="E44" s="802" t="s">
        <v>60</v>
      </c>
      <c r="F44" s="803">
        <v>60</v>
      </c>
      <c r="G44" s="804">
        <v>12.96</v>
      </c>
      <c r="H44" s="805">
        <v>1850</v>
      </c>
      <c r="I44" s="806">
        <v>11</v>
      </c>
      <c r="J44" s="697">
        <v>1325</v>
      </c>
      <c r="K44" s="645"/>
      <c r="L44" s="646">
        <v>501.69</v>
      </c>
      <c r="M44" s="807">
        <v>564</v>
      </c>
      <c r="N44" s="10">
        <v>0.15</v>
      </c>
      <c r="O44" s="11">
        <v>0.05</v>
      </c>
      <c r="P44" s="9">
        <v>0.02</v>
      </c>
      <c r="R44" s="70">
        <f>602*1.1</f>
        <v>662.2</v>
      </c>
    </row>
    <row r="45" spans="1:18" ht="57" customHeight="1" thickBot="1">
      <c r="A45" s="699"/>
      <c r="B45" s="808"/>
      <c r="C45" s="800" t="s">
        <v>14</v>
      </c>
      <c r="D45" s="809"/>
      <c r="E45" s="810"/>
      <c r="F45" s="811"/>
      <c r="G45" s="804">
        <v>12.96</v>
      </c>
      <c r="H45" s="805">
        <v>1850</v>
      </c>
      <c r="I45" s="806">
        <v>11</v>
      </c>
      <c r="J45" s="697">
        <v>1383</v>
      </c>
      <c r="K45" s="645"/>
      <c r="L45" s="646"/>
      <c r="M45" s="812"/>
      <c r="N45" s="10"/>
      <c r="O45" s="11"/>
      <c r="P45" s="9"/>
      <c r="R45" s="70"/>
    </row>
    <row r="46" spans="1:18" ht="57" customHeight="1" thickBot="1">
      <c r="A46" s="699"/>
      <c r="B46" s="813"/>
      <c r="C46" s="814" t="s">
        <v>89</v>
      </c>
      <c r="D46" s="815" t="s">
        <v>78</v>
      </c>
      <c r="E46" s="810"/>
      <c r="F46" s="811"/>
      <c r="G46" s="816">
        <v>12.96</v>
      </c>
      <c r="H46" s="817">
        <v>1850</v>
      </c>
      <c r="I46" s="818">
        <v>11</v>
      </c>
      <c r="J46" s="675">
        <v>2044</v>
      </c>
      <c r="K46" s="645"/>
      <c r="L46" s="646">
        <v>873.73</v>
      </c>
      <c r="M46" s="782">
        <v>1001</v>
      </c>
      <c r="N46" s="10">
        <v>0.3</v>
      </c>
      <c r="O46" s="11">
        <v>0.1</v>
      </c>
      <c r="P46" s="9">
        <v>3.9960039960039939E-2</v>
      </c>
      <c r="R46" s="70">
        <f>1048*1.1</f>
        <v>1152.8000000000002</v>
      </c>
    </row>
    <row r="47" spans="1:18" ht="57" customHeight="1" thickBot="1">
      <c r="A47" s="699"/>
      <c r="B47" s="819"/>
      <c r="C47" s="820" t="s">
        <v>90</v>
      </c>
      <c r="D47" s="815" t="s">
        <v>78</v>
      </c>
      <c r="E47" s="810"/>
      <c r="F47" s="811"/>
      <c r="G47" s="821">
        <v>12.96</v>
      </c>
      <c r="H47" s="822">
        <v>1850</v>
      </c>
      <c r="I47" s="823">
        <v>11</v>
      </c>
      <c r="J47" s="675">
        <v>2044</v>
      </c>
      <c r="K47" s="645"/>
      <c r="L47" s="646">
        <v>873.73</v>
      </c>
      <c r="M47" s="782">
        <v>1001</v>
      </c>
      <c r="N47" s="89">
        <v>0.3</v>
      </c>
      <c r="O47" s="90">
        <v>0.1</v>
      </c>
      <c r="P47" s="88">
        <v>3.9960039960039939E-2</v>
      </c>
      <c r="Q47" s="75"/>
      <c r="R47" s="140">
        <f>1048*1.1</f>
        <v>1152.8000000000002</v>
      </c>
    </row>
    <row r="48" spans="1:18" s="75" customFormat="1" ht="57" customHeight="1" thickBot="1">
      <c r="A48" s="699"/>
      <c r="B48" s="824"/>
      <c r="C48" s="820" t="s">
        <v>131</v>
      </c>
      <c r="D48" s="815"/>
      <c r="E48" s="810"/>
      <c r="F48" s="811"/>
      <c r="G48" s="821">
        <v>12.96</v>
      </c>
      <c r="H48" s="822">
        <v>1850</v>
      </c>
      <c r="I48" s="823">
        <v>11</v>
      </c>
      <c r="J48" s="675">
        <v>2044</v>
      </c>
      <c r="K48" s="645"/>
      <c r="L48" s="646">
        <v>873.73</v>
      </c>
      <c r="M48" s="782">
        <v>1001</v>
      </c>
      <c r="N48" s="89">
        <v>0.3</v>
      </c>
      <c r="O48" s="90">
        <v>0.1</v>
      </c>
      <c r="P48" s="88">
        <v>3.9960039960039939E-2</v>
      </c>
      <c r="R48" s="140">
        <f>1048*1.1</f>
        <v>1152.8000000000002</v>
      </c>
    </row>
    <row r="49" spans="1:19" s="75" customFormat="1" ht="57" customHeight="1" thickBot="1">
      <c r="A49" s="733"/>
      <c r="B49" s="825"/>
      <c r="C49" s="826" t="s">
        <v>85</v>
      </c>
      <c r="D49" s="815" t="s">
        <v>78</v>
      </c>
      <c r="E49" s="827"/>
      <c r="F49" s="828"/>
      <c r="G49" s="829">
        <v>12.96</v>
      </c>
      <c r="H49" s="830">
        <v>1850</v>
      </c>
      <c r="I49" s="831">
        <v>11</v>
      </c>
      <c r="J49" s="675">
        <v>2044</v>
      </c>
      <c r="K49" s="645"/>
      <c r="L49" s="646">
        <v>873.73</v>
      </c>
      <c r="M49" s="782">
        <v>1001</v>
      </c>
      <c r="N49" s="89">
        <v>0.3</v>
      </c>
      <c r="O49" s="90">
        <v>0.1</v>
      </c>
      <c r="P49" s="88">
        <v>3.9960039960039939E-2</v>
      </c>
      <c r="R49" s="140">
        <f>1048*1.1</f>
        <v>1152.8000000000002</v>
      </c>
    </row>
    <row r="50" spans="1:19" ht="15" customHeight="1" thickBot="1">
      <c r="A50" s="648" t="s">
        <v>71</v>
      </c>
      <c r="B50" s="649"/>
      <c r="C50" s="649"/>
      <c r="D50" s="649"/>
      <c r="E50" s="649"/>
      <c r="F50" s="649"/>
      <c r="G50" s="649"/>
      <c r="H50" s="649"/>
      <c r="I50" s="649"/>
      <c r="J50" s="649"/>
      <c r="K50" s="645"/>
      <c r="L50" s="646">
        <v>0</v>
      </c>
      <c r="M50" s="789"/>
      <c r="N50" s="10" t="e">
        <v>#DIV/0!</v>
      </c>
      <c r="O50" s="11" t="e">
        <v>#DIV/0!</v>
      </c>
      <c r="P50" s="9" t="e">
        <v>#DIV/0!</v>
      </c>
      <c r="R50" s="70"/>
    </row>
    <row r="51" spans="1:19" ht="57" customHeight="1" thickBot="1">
      <c r="A51" s="688">
        <v>8</v>
      </c>
      <c r="B51" s="671"/>
      <c r="C51" s="833" t="s">
        <v>90</v>
      </c>
      <c r="D51" s="834"/>
      <c r="E51" s="835" t="s">
        <v>127</v>
      </c>
      <c r="F51" s="803">
        <v>60</v>
      </c>
      <c r="G51" s="816">
        <v>12.7</v>
      </c>
      <c r="H51" s="817">
        <v>1770</v>
      </c>
      <c r="I51" s="836">
        <v>11</v>
      </c>
      <c r="J51" s="675">
        <v>2044</v>
      </c>
      <c r="K51" s="645"/>
      <c r="L51" s="646">
        <v>873.73</v>
      </c>
      <c r="M51" s="783">
        <v>1001</v>
      </c>
      <c r="N51" s="10">
        <v>0.3</v>
      </c>
      <c r="O51" s="11">
        <v>0.1</v>
      </c>
      <c r="P51" s="9">
        <v>3.9960039960039939E-2</v>
      </c>
      <c r="R51" s="70">
        <f>1048*1.1</f>
        <v>1152.8000000000002</v>
      </c>
    </row>
    <row r="52" spans="1:19" ht="57.75" customHeight="1" thickBot="1">
      <c r="A52" s="733"/>
      <c r="B52" s="837"/>
      <c r="C52" s="838" t="s">
        <v>91</v>
      </c>
      <c r="D52" s="839"/>
      <c r="E52" s="840"/>
      <c r="F52" s="828"/>
      <c r="G52" s="829">
        <v>12.7</v>
      </c>
      <c r="H52" s="830">
        <v>1770</v>
      </c>
      <c r="I52" s="841">
        <v>11</v>
      </c>
      <c r="J52" s="675">
        <v>2044</v>
      </c>
      <c r="K52" s="645"/>
      <c r="L52" s="646">
        <v>873.73</v>
      </c>
      <c r="M52" s="843">
        <v>1001</v>
      </c>
      <c r="N52" s="10">
        <v>0.3</v>
      </c>
      <c r="O52" s="11">
        <v>0.1</v>
      </c>
      <c r="P52" s="9">
        <v>3.9960039960039939E-2</v>
      </c>
      <c r="R52" s="70"/>
    </row>
    <row r="53" spans="1:19" ht="18.75" customHeight="1" thickBot="1">
      <c r="A53" s="648" t="s">
        <v>110</v>
      </c>
      <c r="B53" s="649"/>
      <c r="C53" s="649"/>
      <c r="D53" s="649"/>
      <c r="E53" s="649"/>
      <c r="F53" s="649"/>
      <c r="G53" s="649"/>
      <c r="H53" s="649"/>
      <c r="I53" s="649"/>
      <c r="J53" s="649"/>
      <c r="K53" s="645"/>
      <c r="L53" s="646">
        <v>0</v>
      </c>
      <c r="M53" s="767"/>
      <c r="N53" s="10" t="e">
        <v>#DIV/0!</v>
      </c>
      <c r="O53" s="11" t="e">
        <v>#DIV/0!</v>
      </c>
      <c r="P53" s="9" t="e">
        <v>#DIV/0!</v>
      </c>
      <c r="R53" s="70"/>
    </row>
    <row r="54" spans="1:19" ht="57" customHeight="1" thickBot="1">
      <c r="A54" s="688">
        <v>9</v>
      </c>
      <c r="B54" s="844"/>
      <c r="C54" s="845" t="s">
        <v>6</v>
      </c>
      <c r="D54" s="846"/>
      <c r="E54" s="847" t="s">
        <v>152</v>
      </c>
      <c r="F54" s="848">
        <v>80</v>
      </c>
      <c r="G54" s="849">
        <v>10.8</v>
      </c>
      <c r="H54" s="805">
        <v>2024</v>
      </c>
      <c r="I54" s="850">
        <v>10</v>
      </c>
      <c r="J54" s="662">
        <v>1861</v>
      </c>
      <c r="K54" s="645"/>
      <c r="L54" s="646">
        <v>738.98</v>
      </c>
      <c r="M54" s="807">
        <v>830</v>
      </c>
      <c r="N54" s="10">
        <v>0.15</v>
      </c>
      <c r="O54" s="11">
        <v>0.05</v>
      </c>
      <c r="P54" s="9">
        <v>2.0000000000000018E-2</v>
      </c>
      <c r="R54" s="70">
        <f>887*1.1</f>
        <v>975.7</v>
      </c>
    </row>
    <row r="55" spans="1:19" ht="57" customHeight="1" thickBot="1">
      <c r="A55" s="699"/>
      <c r="B55" s="851"/>
      <c r="C55" s="845" t="s">
        <v>14</v>
      </c>
      <c r="D55" s="846"/>
      <c r="E55" s="847"/>
      <c r="F55" s="852"/>
      <c r="G55" s="849">
        <v>10.8</v>
      </c>
      <c r="H55" s="805">
        <v>2024</v>
      </c>
      <c r="I55" s="850">
        <v>10</v>
      </c>
      <c r="J55" s="842">
        <v>1847</v>
      </c>
      <c r="K55" s="645"/>
      <c r="L55" s="646">
        <v>818.64</v>
      </c>
      <c r="M55" s="853">
        <v>920</v>
      </c>
      <c r="N55" s="10">
        <v>0.15</v>
      </c>
      <c r="O55" s="11">
        <v>0.05</v>
      </c>
      <c r="P55" s="9">
        <v>0.03</v>
      </c>
      <c r="R55" s="70">
        <f>983*1.1</f>
        <v>1081.3000000000002</v>
      </c>
      <c r="S55" s="447"/>
    </row>
    <row r="56" spans="1:19" ht="57" customHeight="1" thickBot="1">
      <c r="A56" s="699"/>
      <c r="B56" s="854"/>
      <c r="C56" s="855" t="s">
        <v>85</v>
      </c>
      <c r="D56" s="856"/>
      <c r="E56" s="847"/>
      <c r="F56" s="852"/>
      <c r="G56" s="857">
        <v>10.8</v>
      </c>
      <c r="H56" s="858">
        <v>2024</v>
      </c>
      <c r="I56" s="859">
        <v>10</v>
      </c>
      <c r="J56" s="676">
        <v>2314</v>
      </c>
      <c r="K56" s="645"/>
      <c r="L56" s="646">
        <v>960.17</v>
      </c>
      <c r="M56" s="782">
        <v>1100</v>
      </c>
      <c r="N56" s="10">
        <v>0.3</v>
      </c>
      <c r="O56" s="11">
        <v>0.1</v>
      </c>
      <c r="P56" s="9">
        <v>4.0000000000000036E-2</v>
      </c>
      <c r="R56" s="70">
        <f>1153*1.1</f>
        <v>1268.3000000000002</v>
      </c>
      <c r="S56" s="447"/>
    </row>
    <row r="57" spans="1:19" ht="57" customHeight="1" thickBot="1">
      <c r="A57" s="699"/>
      <c r="B57" s="860"/>
      <c r="C57" s="820" t="s">
        <v>96</v>
      </c>
      <c r="D57" s="861"/>
      <c r="E57" s="847"/>
      <c r="F57" s="852"/>
      <c r="G57" s="862">
        <v>10.8</v>
      </c>
      <c r="H57" s="822">
        <v>2024</v>
      </c>
      <c r="I57" s="823">
        <v>10</v>
      </c>
      <c r="J57" s="676">
        <v>2314</v>
      </c>
      <c r="K57" s="645"/>
      <c r="L57" s="646">
        <v>960.17</v>
      </c>
      <c r="M57" s="782">
        <v>1100</v>
      </c>
      <c r="N57" s="10">
        <v>0.3</v>
      </c>
      <c r="O57" s="11">
        <v>0.1</v>
      </c>
      <c r="P57" s="9">
        <v>4.0000000000000036E-2</v>
      </c>
      <c r="R57" s="70"/>
      <c r="S57" s="447"/>
    </row>
    <row r="58" spans="1:19" ht="57" customHeight="1" thickBot="1">
      <c r="A58" s="699"/>
      <c r="B58" s="860"/>
      <c r="C58" s="820" t="s">
        <v>107</v>
      </c>
      <c r="D58" s="861"/>
      <c r="E58" s="847" t="s">
        <v>151</v>
      </c>
      <c r="F58" s="852"/>
      <c r="G58" s="862">
        <v>10.8</v>
      </c>
      <c r="H58" s="822">
        <v>2014</v>
      </c>
      <c r="I58" s="823">
        <v>10</v>
      </c>
      <c r="J58" s="676">
        <v>2314</v>
      </c>
      <c r="K58" s="645"/>
      <c r="L58" s="646">
        <v>960.17</v>
      </c>
      <c r="M58" s="782">
        <v>1100</v>
      </c>
      <c r="N58" s="10">
        <v>0.3</v>
      </c>
      <c r="O58" s="11">
        <v>0.1</v>
      </c>
      <c r="P58" s="9">
        <v>4.0000000000000036E-2</v>
      </c>
      <c r="R58" s="70"/>
    </row>
    <row r="59" spans="1:19" ht="57" customHeight="1" thickBot="1">
      <c r="A59" s="699"/>
      <c r="B59" s="860"/>
      <c r="C59" s="820" t="s">
        <v>90</v>
      </c>
      <c r="D59" s="861"/>
      <c r="E59" s="847"/>
      <c r="F59" s="852"/>
      <c r="G59" s="862">
        <v>10.8</v>
      </c>
      <c r="H59" s="822">
        <v>2014</v>
      </c>
      <c r="I59" s="823">
        <v>10</v>
      </c>
      <c r="J59" s="676">
        <v>2314</v>
      </c>
      <c r="K59" s="645"/>
      <c r="L59" s="646">
        <v>960.17</v>
      </c>
      <c r="M59" s="782">
        <v>1100</v>
      </c>
      <c r="N59" s="10">
        <v>0.3</v>
      </c>
      <c r="O59" s="11">
        <v>0.1</v>
      </c>
      <c r="P59" s="9">
        <v>4.0000000000000036E-2</v>
      </c>
      <c r="R59" s="70"/>
    </row>
    <row r="60" spans="1:19" ht="57" customHeight="1" thickBot="1">
      <c r="A60" s="699"/>
      <c r="B60" s="860"/>
      <c r="C60" s="820" t="s">
        <v>131</v>
      </c>
      <c r="D60" s="815"/>
      <c r="E60" s="847"/>
      <c r="F60" s="852"/>
      <c r="G60" s="862">
        <v>10.8</v>
      </c>
      <c r="H60" s="822">
        <v>2014</v>
      </c>
      <c r="I60" s="823">
        <v>10</v>
      </c>
      <c r="J60" s="676">
        <v>2314</v>
      </c>
      <c r="K60" s="645"/>
      <c r="L60" s="646">
        <v>960.17</v>
      </c>
      <c r="M60" s="782">
        <v>1100</v>
      </c>
      <c r="N60" s="10">
        <v>0.3</v>
      </c>
      <c r="O60" s="11">
        <v>0.1</v>
      </c>
      <c r="P60" s="9">
        <v>4.0000000000000036E-2</v>
      </c>
      <c r="R60" s="70"/>
    </row>
    <row r="61" spans="1:19" ht="57" customHeight="1" thickBot="1">
      <c r="A61" s="699"/>
      <c r="B61" s="863"/>
      <c r="C61" s="820" t="s">
        <v>95</v>
      </c>
      <c r="D61" s="861"/>
      <c r="E61" s="847"/>
      <c r="F61" s="852"/>
      <c r="G61" s="862">
        <v>10.8</v>
      </c>
      <c r="H61" s="822">
        <v>2014</v>
      </c>
      <c r="I61" s="823">
        <v>10</v>
      </c>
      <c r="J61" s="676">
        <v>2314</v>
      </c>
      <c r="K61" s="645"/>
      <c r="L61" s="646">
        <v>960.17</v>
      </c>
      <c r="M61" s="782">
        <v>1100</v>
      </c>
      <c r="N61" s="10">
        <v>0.3</v>
      </c>
      <c r="O61" s="11">
        <v>0.1</v>
      </c>
      <c r="P61" s="9">
        <v>4.0000000000000036E-2</v>
      </c>
      <c r="R61" s="70"/>
    </row>
    <row r="62" spans="1:19" ht="57" customHeight="1" thickBot="1">
      <c r="A62" s="699"/>
      <c r="B62" s="864"/>
      <c r="C62" s="820" t="s">
        <v>111</v>
      </c>
      <c r="D62" s="861"/>
      <c r="E62" s="847" t="s">
        <v>159</v>
      </c>
      <c r="F62" s="852"/>
      <c r="G62" s="862">
        <v>10.8</v>
      </c>
      <c r="H62" s="822">
        <v>1995</v>
      </c>
      <c r="I62" s="823">
        <v>10</v>
      </c>
      <c r="J62" s="676">
        <v>2314</v>
      </c>
      <c r="K62" s="645"/>
      <c r="L62" s="646">
        <v>960.17</v>
      </c>
      <c r="M62" s="782">
        <v>1100</v>
      </c>
      <c r="N62" s="10">
        <v>0.3</v>
      </c>
      <c r="O62" s="11">
        <v>0.1</v>
      </c>
      <c r="P62" s="9">
        <v>4.0000000000000036E-2</v>
      </c>
      <c r="R62" s="70"/>
    </row>
    <row r="63" spans="1:19" s="75" customFormat="1" ht="57" customHeight="1" thickBot="1">
      <c r="A63" s="699"/>
      <c r="B63" s="865"/>
      <c r="C63" s="701" t="s">
        <v>105</v>
      </c>
      <c r="D63" s="866"/>
      <c r="E63" s="847"/>
      <c r="F63" s="852"/>
      <c r="G63" s="862">
        <v>10.8</v>
      </c>
      <c r="H63" s="822">
        <v>1995</v>
      </c>
      <c r="I63" s="823">
        <v>10</v>
      </c>
      <c r="J63" s="783">
        <v>2411</v>
      </c>
      <c r="K63" s="645"/>
      <c r="L63" s="646"/>
      <c r="M63" s="687">
        <v>1100</v>
      </c>
      <c r="N63" s="89">
        <v>0.3</v>
      </c>
      <c r="O63" s="90">
        <v>0.1</v>
      </c>
      <c r="P63" s="88">
        <v>4.0000000000000036E-2</v>
      </c>
      <c r="R63" s="140"/>
    </row>
    <row r="64" spans="1:19" ht="57" customHeight="1" thickBot="1">
      <c r="A64" s="733"/>
      <c r="B64" s="867"/>
      <c r="C64" s="711" t="s">
        <v>106</v>
      </c>
      <c r="D64" s="727"/>
      <c r="E64" s="868"/>
      <c r="F64" s="869"/>
      <c r="G64" s="870">
        <v>10.8</v>
      </c>
      <c r="H64" s="830">
        <v>1995</v>
      </c>
      <c r="I64" s="831">
        <v>10</v>
      </c>
      <c r="J64" s="783">
        <v>2411</v>
      </c>
      <c r="K64" s="645"/>
      <c r="L64" s="646">
        <v>960.17</v>
      </c>
      <c r="M64" s="687">
        <v>1100</v>
      </c>
      <c r="N64" s="10">
        <v>0.3</v>
      </c>
      <c r="O64" s="11">
        <v>0.1</v>
      </c>
      <c r="P64" s="9">
        <v>4.0000000000000036E-2</v>
      </c>
      <c r="R64" s="70"/>
    </row>
    <row r="65" spans="1:18" ht="15" customHeight="1" thickBot="1">
      <c r="A65" s="648" t="s">
        <v>36</v>
      </c>
      <c r="B65" s="649"/>
      <c r="C65" s="649"/>
      <c r="D65" s="649"/>
      <c r="E65" s="649"/>
      <c r="F65" s="649"/>
      <c r="G65" s="788"/>
      <c r="H65" s="788"/>
      <c r="I65" s="788"/>
      <c r="J65" s="788"/>
      <c r="K65" s="645"/>
      <c r="L65" s="646">
        <v>0</v>
      </c>
      <c r="M65" s="871"/>
      <c r="N65" s="10" t="e">
        <v>#DIV/0!</v>
      </c>
      <c r="O65" s="11" t="e">
        <v>#DIV/0!</v>
      </c>
      <c r="P65" s="9" t="e">
        <v>#DIV/0!</v>
      </c>
      <c r="R65" s="70"/>
    </row>
    <row r="66" spans="1:18" ht="57" customHeight="1" thickBot="1">
      <c r="A66" s="872">
        <v>10</v>
      </c>
      <c r="B66" s="873"/>
      <c r="C66" s="874" t="s">
        <v>6</v>
      </c>
      <c r="D66" s="875" t="s">
        <v>78</v>
      </c>
      <c r="E66" s="657" t="s">
        <v>128</v>
      </c>
      <c r="F66" s="876">
        <v>80</v>
      </c>
      <c r="G66" s="658">
        <v>10</v>
      </c>
      <c r="H66" s="659">
        <v>1506</v>
      </c>
      <c r="I66" s="877">
        <v>13</v>
      </c>
      <c r="J66" s="661">
        <v>1386</v>
      </c>
      <c r="K66" s="645"/>
      <c r="L66" s="646">
        <v>523.73</v>
      </c>
      <c r="M66" s="677">
        <v>589</v>
      </c>
      <c r="N66" s="10">
        <v>0.15</v>
      </c>
      <c r="O66" s="11">
        <v>0.05</v>
      </c>
      <c r="P66" s="9">
        <v>0.02</v>
      </c>
      <c r="R66" s="70">
        <f>629*1.1</f>
        <v>691.90000000000009</v>
      </c>
    </row>
    <row r="67" spans="1:18" ht="15" customHeight="1" thickBot="1">
      <c r="A67" s="648" t="s">
        <v>4</v>
      </c>
      <c r="B67" s="649"/>
      <c r="C67" s="649"/>
      <c r="D67" s="649"/>
      <c r="E67" s="649"/>
      <c r="F67" s="649"/>
      <c r="G67" s="649"/>
      <c r="H67" s="649"/>
      <c r="I67" s="649"/>
      <c r="J67" s="649"/>
      <c r="K67" s="645"/>
      <c r="L67" s="646">
        <v>0</v>
      </c>
      <c r="M67" s="871"/>
      <c r="N67" s="10" t="e">
        <v>#DIV/0!</v>
      </c>
      <c r="O67" s="11" t="e">
        <v>#DIV/0!</v>
      </c>
      <c r="P67" s="9" t="e">
        <v>#DIV/0!</v>
      </c>
      <c r="R67" s="70"/>
    </row>
    <row r="68" spans="1:18" ht="30" customHeight="1">
      <c r="A68" s="745">
        <v>11</v>
      </c>
      <c r="B68" s="878"/>
      <c r="C68" s="879" t="s">
        <v>6</v>
      </c>
      <c r="D68" s="669" t="s">
        <v>78</v>
      </c>
      <c r="E68" s="880" t="s">
        <v>21</v>
      </c>
      <c r="F68" s="671">
        <v>60</v>
      </c>
      <c r="G68" s="672">
        <v>12.9</v>
      </c>
      <c r="H68" s="673">
        <v>1777</v>
      </c>
      <c r="I68" s="674">
        <v>11</v>
      </c>
      <c r="J68" s="675">
        <v>1142</v>
      </c>
      <c r="K68" s="645"/>
      <c r="L68" s="646">
        <v>450.85</v>
      </c>
      <c r="M68" s="881">
        <v>507</v>
      </c>
      <c r="N68" s="10">
        <v>0.1</v>
      </c>
      <c r="O68" s="11">
        <v>0.03</v>
      </c>
      <c r="P68" s="9">
        <v>0.02</v>
      </c>
      <c r="R68" s="70">
        <f>541*1.1</f>
        <v>595.1</v>
      </c>
    </row>
    <row r="69" spans="1:18" ht="30" customHeight="1" thickBot="1">
      <c r="A69" s="752"/>
      <c r="B69" s="882"/>
      <c r="C69" s="883"/>
      <c r="D69" s="884"/>
      <c r="E69" s="885"/>
      <c r="F69" s="886">
        <v>80</v>
      </c>
      <c r="G69" s="887">
        <v>10.75</v>
      </c>
      <c r="H69" s="888">
        <v>1973</v>
      </c>
      <c r="I69" s="889">
        <v>10</v>
      </c>
      <c r="J69" s="687">
        <v>1326</v>
      </c>
      <c r="K69" s="645"/>
      <c r="L69" s="646">
        <v>523.73</v>
      </c>
      <c r="M69" s="890">
        <v>589</v>
      </c>
      <c r="N69" s="10">
        <v>0.1</v>
      </c>
      <c r="O69" s="11">
        <v>0.03</v>
      </c>
      <c r="P69" s="9">
        <v>0.02</v>
      </c>
      <c r="R69" s="70">
        <f>629*1.1</f>
        <v>691.90000000000009</v>
      </c>
    </row>
    <row r="70" spans="1:18" ht="30" customHeight="1">
      <c r="A70" s="752"/>
      <c r="B70" s="891"/>
      <c r="C70" s="892" t="s">
        <v>14</v>
      </c>
      <c r="D70" s="669" t="s">
        <v>78</v>
      </c>
      <c r="E70" s="893"/>
      <c r="F70" s="671">
        <v>60</v>
      </c>
      <c r="G70" s="672">
        <v>12.9</v>
      </c>
      <c r="H70" s="673">
        <v>1777</v>
      </c>
      <c r="I70" s="674">
        <v>11</v>
      </c>
      <c r="J70" s="675">
        <v>1253</v>
      </c>
      <c r="K70" s="645"/>
      <c r="L70" s="646">
        <v>501.69</v>
      </c>
      <c r="M70" s="777">
        <v>564</v>
      </c>
      <c r="N70" s="10">
        <v>0.15</v>
      </c>
      <c r="O70" s="11">
        <v>0.05</v>
      </c>
      <c r="P70" s="9">
        <v>0.03</v>
      </c>
      <c r="R70" s="70">
        <f>602*1.1</f>
        <v>662.2</v>
      </c>
    </row>
    <row r="71" spans="1:18" ht="30" customHeight="1" thickBot="1">
      <c r="A71" s="752"/>
      <c r="B71" s="894"/>
      <c r="C71" s="895"/>
      <c r="D71" s="884"/>
      <c r="E71" s="896"/>
      <c r="F71" s="683">
        <v>80</v>
      </c>
      <c r="G71" s="684">
        <v>10.75</v>
      </c>
      <c r="H71" s="685">
        <v>1973</v>
      </c>
      <c r="I71" s="897">
        <v>10</v>
      </c>
      <c r="J71" s="687">
        <v>1507</v>
      </c>
      <c r="K71" s="645"/>
      <c r="L71" s="646">
        <v>601.69000000000005</v>
      </c>
      <c r="M71" s="898">
        <v>676</v>
      </c>
      <c r="N71" s="10">
        <v>0.15</v>
      </c>
      <c r="O71" s="11">
        <v>0.05</v>
      </c>
      <c r="P71" s="9">
        <v>0.03</v>
      </c>
      <c r="R71" s="70">
        <f>722*1.1</f>
        <v>794.2</v>
      </c>
    </row>
    <row r="72" spans="1:18" s="75" customFormat="1" ht="30" customHeight="1">
      <c r="A72" s="752"/>
      <c r="B72" s="899"/>
      <c r="C72" s="892" t="s">
        <v>44</v>
      </c>
      <c r="D72" s="669" t="s">
        <v>78</v>
      </c>
      <c r="E72" s="896"/>
      <c r="F72" s="900">
        <v>60</v>
      </c>
      <c r="G72" s="774">
        <v>12.9</v>
      </c>
      <c r="H72" s="775">
        <v>1777</v>
      </c>
      <c r="I72" s="901">
        <v>11</v>
      </c>
      <c r="J72" s="675">
        <v>1253</v>
      </c>
      <c r="K72" s="645"/>
      <c r="L72" s="646">
        <v>501.69</v>
      </c>
      <c r="M72" s="777">
        <v>564</v>
      </c>
      <c r="N72" s="89">
        <v>0.15</v>
      </c>
      <c r="O72" s="90">
        <v>0.05</v>
      </c>
      <c r="P72" s="88">
        <v>0.03</v>
      </c>
      <c r="R72" s="140">
        <f>602*1.1</f>
        <v>662.2</v>
      </c>
    </row>
    <row r="73" spans="1:18" s="75" customFormat="1" ht="30" customHeight="1" thickBot="1">
      <c r="A73" s="752"/>
      <c r="B73" s="902"/>
      <c r="C73" s="903"/>
      <c r="D73" s="904"/>
      <c r="E73" s="896"/>
      <c r="F73" s="886">
        <v>80</v>
      </c>
      <c r="G73" s="887">
        <v>10.75</v>
      </c>
      <c r="H73" s="888">
        <v>1973</v>
      </c>
      <c r="I73" s="889">
        <v>10</v>
      </c>
      <c r="J73" s="687">
        <v>1507</v>
      </c>
      <c r="K73" s="645"/>
      <c r="L73" s="646">
        <v>601.69000000000005</v>
      </c>
      <c r="M73" s="898">
        <v>676</v>
      </c>
      <c r="N73" s="89">
        <v>0.15</v>
      </c>
      <c r="O73" s="90">
        <v>0.05</v>
      </c>
      <c r="P73" s="88">
        <v>0.03</v>
      </c>
      <c r="R73" s="140">
        <f>722*1.1</f>
        <v>794.2</v>
      </c>
    </row>
    <row r="74" spans="1:18" ht="30" customHeight="1">
      <c r="A74" s="752"/>
      <c r="B74" s="905"/>
      <c r="C74" s="906" t="s">
        <v>101</v>
      </c>
      <c r="D74" s="669" t="s">
        <v>78</v>
      </c>
      <c r="E74" s="747" t="s">
        <v>21</v>
      </c>
      <c r="F74" s="907">
        <v>60</v>
      </c>
      <c r="G74" s="908">
        <v>12.9</v>
      </c>
      <c r="H74" s="673">
        <v>1777</v>
      </c>
      <c r="I74" s="674">
        <v>11</v>
      </c>
      <c r="J74" s="675">
        <v>1833</v>
      </c>
      <c r="K74" s="645"/>
      <c r="L74" s="646">
        <v>782.2</v>
      </c>
      <c r="M74" s="909">
        <v>896</v>
      </c>
      <c r="N74" s="10">
        <v>0.3</v>
      </c>
      <c r="O74" s="11">
        <v>0.1</v>
      </c>
      <c r="P74" s="9">
        <v>0.04</v>
      </c>
      <c r="R74" s="70">
        <f>939*1.1</f>
        <v>1032.9000000000001</v>
      </c>
    </row>
    <row r="75" spans="1:18" ht="30" customHeight="1" thickBot="1">
      <c r="A75" s="752"/>
      <c r="B75" s="910"/>
      <c r="C75" s="911"/>
      <c r="D75" s="727"/>
      <c r="E75" s="755"/>
      <c r="F75" s="912">
        <v>80</v>
      </c>
      <c r="G75" s="684">
        <v>10.75</v>
      </c>
      <c r="H75" s="685">
        <v>1973</v>
      </c>
      <c r="I75" s="686">
        <v>10</v>
      </c>
      <c r="J75" s="687">
        <v>2059</v>
      </c>
      <c r="K75" s="645"/>
      <c r="L75" s="646">
        <v>879.66</v>
      </c>
      <c r="M75" s="913">
        <v>1008</v>
      </c>
      <c r="N75" s="10">
        <v>0.3</v>
      </c>
      <c r="O75" s="11">
        <v>0.1</v>
      </c>
      <c r="P75" s="9">
        <v>0.04</v>
      </c>
      <c r="R75" s="70">
        <f>1056*1.1</f>
        <v>1161.6000000000001</v>
      </c>
    </row>
    <row r="76" spans="1:18" ht="27.95" customHeight="1">
      <c r="A76" s="752"/>
      <c r="B76" s="905"/>
      <c r="C76" s="914" t="s">
        <v>102</v>
      </c>
      <c r="D76" s="669" t="s">
        <v>78</v>
      </c>
      <c r="E76" s="755"/>
      <c r="F76" s="907">
        <v>60</v>
      </c>
      <c r="G76" s="908">
        <v>12.9</v>
      </c>
      <c r="H76" s="673">
        <v>1777</v>
      </c>
      <c r="I76" s="674">
        <v>11</v>
      </c>
      <c r="J76" s="675">
        <v>1833</v>
      </c>
      <c r="K76" s="645"/>
      <c r="L76" s="646">
        <v>782.2</v>
      </c>
      <c r="M76" s="915">
        <v>896</v>
      </c>
      <c r="N76" s="10">
        <v>0.3</v>
      </c>
      <c r="O76" s="11">
        <v>0.1</v>
      </c>
      <c r="P76" s="9">
        <v>0.04</v>
      </c>
      <c r="R76" s="70"/>
    </row>
    <row r="77" spans="1:18" ht="29.25" customHeight="1" thickBot="1">
      <c r="A77" s="752"/>
      <c r="B77" s="916"/>
      <c r="C77" s="917"/>
      <c r="D77" s="727"/>
      <c r="E77" s="755"/>
      <c r="F77" s="912">
        <v>80</v>
      </c>
      <c r="G77" s="684">
        <v>10.75</v>
      </c>
      <c r="H77" s="685">
        <v>1973</v>
      </c>
      <c r="I77" s="686">
        <v>10</v>
      </c>
      <c r="J77" s="687">
        <v>2059</v>
      </c>
      <c r="K77" s="645"/>
      <c r="L77" s="646">
        <v>879.66</v>
      </c>
      <c r="M77" s="913">
        <v>1008</v>
      </c>
      <c r="N77" s="10">
        <v>0.3</v>
      </c>
      <c r="O77" s="11">
        <v>0.1</v>
      </c>
      <c r="P77" s="9">
        <v>0.04</v>
      </c>
      <c r="R77" s="70"/>
    </row>
    <row r="78" spans="1:18" ht="30" customHeight="1">
      <c r="A78" s="752"/>
      <c r="B78" s="905"/>
      <c r="C78" s="906" t="s">
        <v>103</v>
      </c>
      <c r="D78" s="669" t="s">
        <v>78</v>
      </c>
      <c r="E78" s="755"/>
      <c r="F78" s="907">
        <v>60</v>
      </c>
      <c r="G78" s="672">
        <v>12.9</v>
      </c>
      <c r="H78" s="673">
        <v>1777</v>
      </c>
      <c r="I78" s="674">
        <v>11</v>
      </c>
      <c r="J78" s="675">
        <v>1833</v>
      </c>
      <c r="K78" s="645"/>
      <c r="L78" s="646">
        <v>782.2</v>
      </c>
      <c r="M78" s="915">
        <v>896</v>
      </c>
      <c r="N78" s="10">
        <v>0.3</v>
      </c>
      <c r="O78" s="11">
        <v>0.1</v>
      </c>
      <c r="P78" s="9">
        <v>0.04</v>
      </c>
      <c r="R78" s="70"/>
    </row>
    <row r="79" spans="1:18" ht="30" customHeight="1" thickBot="1">
      <c r="A79" s="752"/>
      <c r="B79" s="910"/>
      <c r="C79" s="911"/>
      <c r="D79" s="727"/>
      <c r="E79" s="755"/>
      <c r="F79" s="912">
        <v>80</v>
      </c>
      <c r="G79" s="684">
        <v>10.75</v>
      </c>
      <c r="H79" s="685">
        <v>1973</v>
      </c>
      <c r="I79" s="686">
        <v>10</v>
      </c>
      <c r="J79" s="687">
        <v>2059</v>
      </c>
      <c r="K79" s="645"/>
      <c r="L79" s="646">
        <v>879.66</v>
      </c>
      <c r="M79" s="913">
        <v>1008</v>
      </c>
      <c r="N79" s="10">
        <v>0.3</v>
      </c>
      <c r="O79" s="11">
        <v>0.1</v>
      </c>
      <c r="P79" s="9">
        <v>0.04</v>
      </c>
      <c r="R79" s="70"/>
    </row>
    <row r="80" spans="1:18" ht="28.5" customHeight="1">
      <c r="A80" s="752"/>
      <c r="B80" s="905"/>
      <c r="C80" s="918" t="s">
        <v>100</v>
      </c>
      <c r="D80" s="669" t="s">
        <v>78</v>
      </c>
      <c r="E80" s="755"/>
      <c r="F80" s="907">
        <v>60</v>
      </c>
      <c r="G80" s="672">
        <v>12.9</v>
      </c>
      <c r="H80" s="673">
        <v>1777</v>
      </c>
      <c r="I80" s="674">
        <v>11</v>
      </c>
      <c r="J80" s="675">
        <v>1833</v>
      </c>
      <c r="K80" s="645"/>
      <c r="L80" s="646">
        <v>782.2</v>
      </c>
      <c r="M80" s="915">
        <v>896</v>
      </c>
      <c r="N80" s="10">
        <v>0.3</v>
      </c>
      <c r="O80" s="11">
        <v>0.1</v>
      </c>
      <c r="P80" s="9">
        <v>0.04</v>
      </c>
      <c r="R80" s="70"/>
    </row>
    <row r="81" spans="1:18" ht="29.25" customHeight="1" thickBot="1">
      <c r="A81" s="752"/>
      <c r="B81" s="916"/>
      <c r="C81" s="919"/>
      <c r="D81" s="727"/>
      <c r="E81" s="755"/>
      <c r="F81" s="912">
        <v>80</v>
      </c>
      <c r="G81" s="684">
        <v>10.75</v>
      </c>
      <c r="H81" s="685">
        <v>1973</v>
      </c>
      <c r="I81" s="686">
        <v>10</v>
      </c>
      <c r="J81" s="687">
        <v>2059</v>
      </c>
      <c r="K81" s="645"/>
      <c r="L81" s="646">
        <v>879.66</v>
      </c>
      <c r="M81" s="913">
        <v>1008</v>
      </c>
      <c r="N81" s="10">
        <v>0.3</v>
      </c>
      <c r="O81" s="11">
        <v>0.1</v>
      </c>
      <c r="P81" s="9">
        <v>0.04</v>
      </c>
      <c r="R81" s="70"/>
    </row>
    <row r="82" spans="1:18" ht="30" customHeight="1">
      <c r="A82" s="752"/>
      <c r="B82" s="920"/>
      <c r="C82" s="921" t="s">
        <v>99</v>
      </c>
      <c r="D82" s="669" t="s">
        <v>78</v>
      </c>
      <c r="E82" s="755"/>
      <c r="F82" s="907">
        <v>60</v>
      </c>
      <c r="G82" s="672">
        <v>12.9</v>
      </c>
      <c r="H82" s="673">
        <v>1777</v>
      </c>
      <c r="I82" s="674">
        <v>11</v>
      </c>
      <c r="J82" s="675">
        <v>1833</v>
      </c>
      <c r="K82" s="645"/>
      <c r="L82" s="646">
        <v>782.2</v>
      </c>
      <c r="M82" s="915">
        <v>896</v>
      </c>
      <c r="N82" s="10">
        <v>0.3</v>
      </c>
      <c r="O82" s="11">
        <v>0.1</v>
      </c>
      <c r="P82" s="9">
        <v>0.04</v>
      </c>
      <c r="R82" s="70"/>
    </row>
    <row r="83" spans="1:18" ht="30" customHeight="1" thickBot="1">
      <c r="A83" s="752"/>
      <c r="B83" s="910"/>
      <c r="C83" s="922"/>
      <c r="D83" s="727"/>
      <c r="E83" s="755"/>
      <c r="F83" s="912">
        <v>80</v>
      </c>
      <c r="G83" s="684">
        <v>10.75</v>
      </c>
      <c r="H83" s="685">
        <v>1973</v>
      </c>
      <c r="I83" s="897">
        <v>10</v>
      </c>
      <c r="J83" s="687">
        <v>2059</v>
      </c>
      <c r="K83" s="645"/>
      <c r="L83" s="646">
        <v>879.66</v>
      </c>
      <c r="M83" s="913">
        <v>1008</v>
      </c>
      <c r="N83" s="10">
        <v>0.3</v>
      </c>
      <c r="O83" s="11">
        <v>0.1</v>
      </c>
      <c r="P83" s="9">
        <v>0.04</v>
      </c>
      <c r="R83" s="70"/>
    </row>
    <row r="84" spans="1:18" ht="30" customHeight="1">
      <c r="A84" s="752"/>
      <c r="B84" s="920"/>
      <c r="C84" s="921" t="s">
        <v>109</v>
      </c>
      <c r="D84" s="669" t="s">
        <v>78</v>
      </c>
      <c r="E84" s="755"/>
      <c r="F84" s="907">
        <v>60</v>
      </c>
      <c r="G84" s="672">
        <v>12.9</v>
      </c>
      <c r="H84" s="673">
        <v>1777</v>
      </c>
      <c r="I84" s="674">
        <v>11</v>
      </c>
      <c r="J84" s="675">
        <v>1833</v>
      </c>
      <c r="K84" s="645"/>
      <c r="L84" s="646">
        <v>782.2</v>
      </c>
      <c r="M84" s="923">
        <v>896</v>
      </c>
      <c r="N84" s="10">
        <v>0.3</v>
      </c>
      <c r="O84" s="11">
        <v>0.1</v>
      </c>
      <c r="P84" s="9">
        <v>0.04</v>
      </c>
      <c r="R84" s="70"/>
    </row>
    <row r="85" spans="1:18" ht="30" customHeight="1" thickBot="1">
      <c r="A85" s="752"/>
      <c r="B85" s="910"/>
      <c r="C85" s="922"/>
      <c r="D85" s="727"/>
      <c r="E85" s="755"/>
      <c r="F85" s="912">
        <v>80</v>
      </c>
      <c r="G85" s="684">
        <v>10.75</v>
      </c>
      <c r="H85" s="685">
        <v>1973</v>
      </c>
      <c r="I85" s="897">
        <v>10</v>
      </c>
      <c r="J85" s="687">
        <v>2059</v>
      </c>
      <c r="K85" s="645"/>
      <c r="L85" s="646">
        <v>879.66</v>
      </c>
      <c r="M85" s="913">
        <v>1008</v>
      </c>
      <c r="N85" s="10">
        <v>0.3</v>
      </c>
      <c r="O85" s="11">
        <v>0.1</v>
      </c>
      <c r="P85" s="9">
        <v>0.04</v>
      </c>
      <c r="R85" s="70"/>
    </row>
    <row r="86" spans="1:18" ht="30" customHeight="1">
      <c r="A86" s="752"/>
      <c r="B86" s="905"/>
      <c r="C86" s="921" t="s">
        <v>97</v>
      </c>
      <c r="D86" s="669" t="s">
        <v>78</v>
      </c>
      <c r="E86" s="755"/>
      <c r="F86" s="907">
        <v>60</v>
      </c>
      <c r="G86" s="672">
        <v>12.9</v>
      </c>
      <c r="H86" s="673">
        <v>1777</v>
      </c>
      <c r="I86" s="674">
        <v>11</v>
      </c>
      <c r="J86" s="675">
        <v>1833</v>
      </c>
      <c r="K86" s="645"/>
      <c r="L86" s="646">
        <v>782.2</v>
      </c>
      <c r="M86" s="915">
        <v>896</v>
      </c>
      <c r="N86" s="10">
        <v>0.3</v>
      </c>
      <c r="O86" s="11">
        <v>0.1</v>
      </c>
      <c r="P86" s="9">
        <v>0.04</v>
      </c>
      <c r="R86" s="70"/>
    </row>
    <row r="87" spans="1:18" ht="30" customHeight="1" thickBot="1">
      <c r="A87" s="752"/>
      <c r="B87" s="910"/>
      <c r="C87" s="922"/>
      <c r="D87" s="727"/>
      <c r="E87" s="755"/>
      <c r="F87" s="912">
        <v>80</v>
      </c>
      <c r="G87" s="684">
        <v>10.75</v>
      </c>
      <c r="H87" s="685">
        <v>1973</v>
      </c>
      <c r="I87" s="897">
        <v>10</v>
      </c>
      <c r="J87" s="687">
        <v>2059</v>
      </c>
      <c r="K87" s="645"/>
      <c r="L87" s="646">
        <v>879.66</v>
      </c>
      <c r="M87" s="913">
        <v>1008</v>
      </c>
      <c r="N87" s="10">
        <v>0.3</v>
      </c>
      <c r="O87" s="11">
        <v>0.1</v>
      </c>
      <c r="P87" s="9">
        <v>0.04</v>
      </c>
      <c r="R87" s="70"/>
    </row>
    <row r="88" spans="1:18" ht="30" customHeight="1">
      <c r="A88" s="752"/>
      <c r="B88" s="905"/>
      <c r="C88" s="921" t="s">
        <v>96</v>
      </c>
      <c r="D88" s="669" t="s">
        <v>78</v>
      </c>
      <c r="E88" s="755"/>
      <c r="F88" s="907">
        <v>60</v>
      </c>
      <c r="G88" s="672">
        <v>12.9</v>
      </c>
      <c r="H88" s="673">
        <v>1777</v>
      </c>
      <c r="I88" s="674">
        <v>11</v>
      </c>
      <c r="J88" s="675">
        <v>1833</v>
      </c>
      <c r="K88" s="645"/>
      <c r="L88" s="646">
        <v>782.2</v>
      </c>
      <c r="M88" s="915">
        <v>896</v>
      </c>
      <c r="N88" s="10">
        <v>0.3</v>
      </c>
      <c r="O88" s="11">
        <v>0.1</v>
      </c>
      <c r="P88" s="9">
        <v>0.04</v>
      </c>
      <c r="R88" s="70"/>
    </row>
    <row r="89" spans="1:18" ht="30" customHeight="1" thickBot="1">
      <c r="A89" s="752"/>
      <c r="B89" s="910"/>
      <c r="C89" s="922"/>
      <c r="D89" s="727"/>
      <c r="E89" s="755"/>
      <c r="F89" s="912">
        <v>80</v>
      </c>
      <c r="G89" s="684">
        <v>10.75</v>
      </c>
      <c r="H89" s="685">
        <v>1973</v>
      </c>
      <c r="I89" s="897">
        <v>10</v>
      </c>
      <c r="J89" s="687">
        <v>2059</v>
      </c>
      <c r="K89" s="645"/>
      <c r="L89" s="646">
        <v>879.66</v>
      </c>
      <c r="M89" s="913">
        <v>1008</v>
      </c>
      <c r="N89" s="10">
        <v>0.3</v>
      </c>
      <c r="O89" s="11">
        <v>0.1</v>
      </c>
      <c r="P89" s="9">
        <v>0.04</v>
      </c>
      <c r="R89" s="70"/>
    </row>
    <row r="90" spans="1:18" ht="30" customHeight="1">
      <c r="A90" s="752"/>
      <c r="B90" s="905"/>
      <c r="C90" s="921" t="s">
        <v>93</v>
      </c>
      <c r="D90" s="669" t="s">
        <v>78</v>
      </c>
      <c r="E90" s="755"/>
      <c r="F90" s="907">
        <v>60</v>
      </c>
      <c r="G90" s="672">
        <v>12.9</v>
      </c>
      <c r="H90" s="673">
        <v>1777</v>
      </c>
      <c r="I90" s="674">
        <v>11</v>
      </c>
      <c r="J90" s="675">
        <v>1833</v>
      </c>
      <c r="K90" s="645"/>
      <c r="L90" s="646">
        <v>782.2</v>
      </c>
      <c r="M90" s="915">
        <v>896</v>
      </c>
      <c r="N90" s="10">
        <v>0.3</v>
      </c>
      <c r="O90" s="11">
        <v>0.1</v>
      </c>
      <c r="P90" s="9">
        <v>0.04</v>
      </c>
      <c r="R90" s="70"/>
    </row>
    <row r="91" spans="1:18" ht="30" customHeight="1" thickBot="1">
      <c r="A91" s="752"/>
      <c r="B91" s="916"/>
      <c r="C91" s="922"/>
      <c r="D91" s="727"/>
      <c r="E91" s="755"/>
      <c r="F91" s="912">
        <v>80</v>
      </c>
      <c r="G91" s="684">
        <v>10.75</v>
      </c>
      <c r="H91" s="685">
        <v>1973</v>
      </c>
      <c r="I91" s="897">
        <v>10</v>
      </c>
      <c r="J91" s="687">
        <v>2059</v>
      </c>
      <c r="K91" s="645"/>
      <c r="L91" s="646">
        <v>879.66</v>
      </c>
      <c r="M91" s="913">
        <v>1008</v>
      </c>
      <c r="N91" s="10">
        <v>0.3</v>
      </c>
      <c r="O91" s="11">
        <v>0.1</v>
      </c>
      <c r="P91" s="9">
        <v>0.04</v>
      </c>
      <c r="R91" s="70"/>
    </row>
    <row r="92" spans="1:18" ht="30" customHeight="1">
      <c r="A92" s="752"/>
      <c r="B92" s="920"/>
      <c r="C92" s="921" t="s">
        <v>94</v>
      </c>
      <c r="D92" s="669"/>
      <c r="E92" s="755"/>
      <c r="F92" s="907">
        <v>60</v>
      </c>
      <c r="G92" s="672">
        <v>12.9</v>
      </c>
      <c r="H92" s="673">
        <v>1777</v>
      </c>
      <c r="I92" s="674">
        <v>11</v>
      </c>
      <c r="J92" s="675">
        <v>1833</v>
      </c>
      <c r="K92" s="645"/>
      <c r="L92" s="646">
        <v>782.2</v>
      </c>
      <c r="M92" s="924">
        <v>896</v>
      </c>
      <c r="N92" s="10">
        <v>0.3</v>
      </c>
      <c r="O92" s="11">
        <v>0.1</v>
      </c>
      <c r="P92" s="9">
        <v>0.04</v>
      </c>
      <c r="R92" s="70"/>
    </row>
    <row r="93" spans="1:18" ht="30" customHeight="1" thickBot="1">
      <c r="A93" s="752"/>
      <c r="B93" s="916"/>
      <c r="C93" s="922"/>
      <c r="D93" s="727"/>
      <c r="E93" s="755"/>
      <c r="F93" s="912">
        <v>80</v>
      </c>
      <c r="G93" s="684">
        <v>10.75</v>
      </c>
      <c r="H93" s="685">
        <v>1973</v>
      </c>
      <c r="I93" s="897">
        <v>10</v>
      </c>
      <c r="J93" s="687">
        <v>2059</v>
      </c>
      <c r="K93" s="645"/>
      <c r="L93" s="646">
        <v>879.66</v>
      </c>
      <c r="M93" s="913">
        <v>1008</v>
      </c>
      <c r="N93" s="10">
        <v>0.3</v>
      </c>
      <c r="O93" s="11">
        <v>0.1</v>
      </c>
      <c r="P93" s="9">
        <v>0.04</v>
      </c>
      <c r="R93" s="70"/>
    </row>
    <row r="94" spans="1:18" s="75" customFormat="1" ht="30" customHeight="1">
      <c r="A94" s="752"/>
      <c r="B94" s="920"/>
      <c r="C94" s="921" t="s">
        <v>112</v>
      </c>
      <c r="D94" s="669" t="s">
        <v>78</v>
      </c>
      <c r="E94" s="755"/>
      <c r="F94" s="907">
        <v>60</v>
      </c>
      <c r="G94" s="672">
        <v>12.9</v>
      </c>
      <c r="H94" s="673">
        <v>1777</v>
      </c>
      <c r="I94" s="674">
        <v>11</v>
      </c>
      <c r="J94" s="675">
        <v>1833</v>
      </c>
      <c r="K94" s="645"/>
      <c r="L94" s="646"/>
      <c r="M94" s="924">
        <v>896</v>
      </c>
      <c r="N94" s="89">
        <v>0.3</v>
      </c>
      <c r="O94" s="90">
        <v>0.1</v>
      </c>
      <c r="P94" s="88">
        <v>0.04</v>
      </c>
      <c r="R94" s="140"/>
    </row>
    <row r="95" spans="1:18" s="75" customFormat="1" ht="30" customHeight="1" thickBot="1">
      <c r="A95" s="752"/>
      <c r="B95" s="916"/>
      <c r="C95" s="922"/>
      <c r="D95" s="727"/>
      <c r="E95" s="755"/>
      <c r="F95" s="912">
        <v>80</v>
      </c>
      <c r="G95" s="684">
        <v>10.75</v>
      </c>
      <c r="H95" s="685">
        <v>1973</v>
      </c>
      <c r="I95" s="897">
        <v>10</v>
      </c>
      <c r="J95" s="687">
        <v>2059</v>
      </c>
      <c r="K95" s="645"/>
      <c r="L95" s="646"/>
      <c r="M95" s="913">
        <v>1008</v>
      </c>
      <c r="N95" s="89">
        <v>0.3</v>
      </c>
      <c r="O95" s="90">
        <v>0.1</v>
      </c>
      <c r="P95" s="88">
        <v>0.04</v>
      </c>
      <c r="R95" s="140"/>
    </row>
    <row r="96" spans="1:18" s="75" customFormat="1" ht="30" customHeight="1">
      <c r="A96" s="752"/>
      <c r="B96" s="925"/>
      <c r="C96" s="921" t="s">
        <v>160</v>
      </c>
      <c r="D96" s="669" t="s">
        <v>78</v>
      </c>
      <c r="E96" s="755"/>
      <c r="F96" s="907">
        <v>60</v>
      </c>
      <c r="G96" s="672">
        <v>12.9</v>
      </c>
      <c r="H96" s="673">
        <v>1777</v>
      </c>
      <c r="I96" s="674">
        <v>11</v>
      </c>
      <c r="J96" s="675">
        <v>1833</v>
      </c>
      <c r="K96" s="645"/>
      <c r="L96" s="646"/>
      <c r="M96" s="924"/>
      <c r="N96" s="89">
        <v>0.3</v>
      </c>
      <c r="O96" s="90">
        <v>0.1</v>
      </c>
      <c r="P96" s="88">
        <v>0.04</v>
      </c>
      <c r="R96" s="140"/>
    </row>
    <row r="97" spans="1:18" s="75" customFormat="1" ht="30" customHeight="1" thickBot="1">
      <c r="A97" s="752"/>
      <c r="B97" s="925"/>
      <c r="C97" s="922"/>
      <c r="D97" s="926"/>
      <c r="E97" s="755"/>
      <c r="F97" s="912">
        <v>80</v>
      </c>
      <c r="G97" s="684">
        <v>10.75</v>
      </c>
      <c r="H97" s="685">
        <v>1973</v>
      </c>
      <c r="I97" s="897">
        <v>10</v>
      </c>
      <c r="J97" s="687">
        <v>2059</v>
      </c>
      <c r="K97" s="645"/>
      <c r="L97" s="646"/>
      <c r="M97" s="924"/>
      <c r="N97" s="89">
        <v>0.3</v>
      </c>
      <c r="O97" s="90">
        <v>0.1</v>
      </c>
      <c r="P97" s="88">
        <v>0.04</v>
      </c>
      <c r="R97" s="140"/>
    </row>
    <row r="98" spans="1:18" s="75" customFormat="1" ht="30" customHeight="1">
      <c r="A98" s="752"/>
      <c r="B98" s="920"/>
      <c r="C98" s="921" t="s">
        <v>133</v>
      </c>
      <c r="D98" s="669"/>
      <c r="E98" s="755"/>
      <c r="F98" s="907">
        <v>60</v>
      </c>
      <c r="G98" s="672">
        <v>12.9</v>
      </c>
      <c r="H98" s="673">
        <v>1777</v>
      </c>
      <c r="I98" s="674">
        <v>11</v>
      </c>
      <c r="J98" s="675">
        <v>1833</v>
      </c>
      <c r="K98" s="645"/>
      <c r="L98" s="646"/>
      <c r="M98" s="924">
        <v>896</v>
      </c>
      <c r="N98" s="89">
        <v>0.3</v>
      </c>
      <c r="O98" s="90">
        <v>0.1</v>
      </c>
      <c r="P98" s="88">
        <v>0.04</v>
      </c>
      <c r="R98" s="140"/>
    </row>
    <row r="99" spans="1:18" s="75" customFormat="1" ht="30" customHeight="1" thickBot="1">
      <c r="A99" s="752"/>
      <c r="B99" s="916"/>
      <c r="C99" s="922"/>
      <c r="D99" s="727"/>
      <c r="E99" s="755"/>
      <c r="F99" s="912">
        <v>80</v>
      </c>
      <c r="G99" s="684">
        <v>10.75</v>
      </c>
      <c r="H99" s="685">
        <v>1973</v>
      </c>
      <c r="I99" s="897">
        <v>10</v>
      </c>
      <c r="J99" s="687">
        <v>2059</v>
      </c>
      <c r="K99" s="645"/>
      <c r="L99" s="646"/>
      <c r="M99" s="913">
        <v>1008</v>
      </c>
      <c r="N99" s="89">
        <v>0.3</v>
      </c>
      <c r="O99" s="90">
        <v>0.1</v>
      </c>
      <c r="P99" s="88">
        <v>0.04</v>
      </c>
      <c r="R99" s="140"/>
    </row>
    <row r="100" spans="1:18" ht="30" customHeight="1">
      <c r="A100" s="752"/>
      <c r="B100" s="927"/>
      <c r="C100" s="928" t="s">
        <v>95</v>
      </c>
      <c r="D100" s="797"/>
      <c r="E100" s="755"/>
      <c r="F100" s="907">
        <v>60</v>
      </c>
      <c r="G100" s="672">
        <v>12.9</v>
      </c>
      <c r="H100" s="673">
        <v>1777</v>
      </c>
      <c r="I100" s="674">
        <v>11</v>
      </c>
      <c r="J100" s="675">
        <v>1833</v>
      </c>
      <c r="K100" s="645"/>
      <c r="L100" s="646">
        <v>782.2</v>
      </c>
      <c r="M100" s="924">
        <v>896</v>
      </c>
      <c r="N100" s="89">
        <v>0.3</v>
      </c>
      <c r="O100" s="90">
        <v>0.1</v>
      </c>
      <c r="P100" s="88">
        <v>0.04</v>
      </c>
      <c r="R100" s="70"/>
    </row>
    <row r="101" spans="1:18" ht="30" customHeight="1" thickBot="1">
      <c r="A101" s="760"/>
      <c r="B101" s="910"/>
      <c r="C101" s="922"/>
      <c r="D101" s="727"/>
      <c r="E101" s="762"/>
      <c r="F101" s="912">
        <v>80</v>
      </c>
      <c r="G101" s="684">
        <v>10.75</v>
      </c>
      <c r="H101" s="685">
        <v>1973</v>
      </c>
      <c r="I101" s="897">
        <v>10</v>
      </c>
      <c r="J101" s="687">
        <v>2059</v>
      </c>
      <c r="K101" s="645"/>
      <c r="L101" s="646">
        <v>879.66</v>
      </c>
      <c r="M101" s="913">
        <v>1008</v>
      </c>
      <c r="N101" s="89">
        <v>0.3</v>
      </c>
      <c r="O101" s="90">
        <v>0.1</v>
      </c>
      <c r="P101" s="88">
        <v>0.04</v>
      </c>
      <c r="R101" s="70"/>
    </row>
    <row r="102" spans="1:18" s="75" customFormat="1" ht="19.899999999999999" customHeight="1" thickBot="1">
      <c r="A102" s="741" t="s">
        <v>161</v>
      </c>
      <c r="B102" s="742"/>
      <c r="C102" s="742"/>
      <c r="D102" s="742"/>
      <c r="E102" s="742"/>
      <c r="F102" s="742"/>
      <c r="G102" s="742"/>
      <c r="H102" s="742"/>
      <c r="I102" s="742"/>
      <c r="J102" s="742"/>
      <c r="K102" s="645"/>
      <c r="L102" s="646"/>
      <c r="M102" s="924"/>
      <c r="N102" s="89"/>
      <c r="O102" s="90"/>
      <c r="P102" s="88"/>
      <c r="R102" s="140"/>
    </row>
    <row r="103" spans="1:18" s="75" customFormat="1" ht="56.45" customHeight="1" thickBot="1">
      <c r="A103" s="745">
        <v>12</v>
      </c>
      <c r="B103" s="929"/>
      <c r="C103" s="930" t="s">
        <v>6</v>
      </c>
      <c r="D103" s="875"/>
      <c r="E103" s="747" t="s">
        <v>21</v>
      </c>
      <c r="F103" s="907">
        <v>60</v>
      </c>
      <c r="G103" s="672">
        <v>12.9</v>
      </c>
      <c r="H103" s="673">
        <v>1777</v>
      </c>
      <c r="I103" s="931">
        <v>11</v>
      </c>
      <c r="J103" s="687">
        <v>1142</v>
      </c>
      <c r="K103" s="645"/>
      <c r="L103" s="646"/>
      <c r="M103" s="924"/>
      <c r="N103" s="446">
        <v>0.1</v>
      </c>
      <c r="O103" s="90">
        <v>0.03</v>
      </c>
      <c r="P103" s="88">
        <v>0.02</v>
      </c>
      <c r="R103" s="140"/>
    </row>
    <row r="104" spans="1:18" s="75" customFormat="1" ht="56.45" customHeight="1" thickBot="1">
      <c r="A104" s="752"/>
      <c r="B104" s="932"/>
      <c r="C104" s="933" t="s">
        <v>14</v>
      </c>
      <c r="D104" s="934"/>
      <c r="E104" s="755"/>
      <c r="F104" s="907">
        <v>60</v>
      </c>
      <c r="G104" s="672">
        <v>12.9</v>
      </c>
      <c r="H104" s="673">
        <v>1777</v>
      </c>
      <c r="I104" s="931">
        <v>11</v>
      </c>
      <c r="J104" s="687">
        <v>1253</v>
      </c>
      <c r="K104" s="645"/>
      <c r="L104" s="646"/>
      <c r="M104" s="924"/>
      <c r="N104" s="446">
        <v>0.15</v>
      </c>
      <c r="O104" s="90">
        <v>0.05</v>
      </c>
      <c r="P104" s="88">
        <v>0.03</v>
      </c>
      <c r="R104" s="140"/>
    </row>
    <row r="105" spans="1:18" s="75" customFormat="1" ht="56.45" customHeight="1" thickBot="1">
      <c r="A105" s="752"/>
      <c r="B105" s="935"/>
      <c r="C105" s="933" t="s">
        <v>44</v>
      </c>
      <c r="D105" s="934"/>
      <c r="E105" s="755"/>
      <c r="F105" s="907">
        <v>60</v>
      </c>
      <c r="G105" s="672">
        <v>12.9</v>
      </c>
      <c r="H105" s="673">
        <v>1777</v>
      </c>
      <c r="I105" s="931">
        <v>11</v>
      </c>
      <c r="J105" s="687">
        <v>1253</v>
      </c>
      <c r="K105" s="645"/>
      <c r="L105" s="646"/>
      <c r="M105" s="924"/>
      <c r="N105" s="446">
        <v>0.15</v>
      </c>
      <c r="O105" s="90">
        <v>0.05</v>
      </c>
      <c r="P105" s="88">
        <v>0.03</v>
      </c>
      <c r="R105" s="140"/>
    </row>
    <row r="106" spans="1:18" s="75" customFormat="1" ht="56.45" customHeight="1" thickBot="1">
      <c r="A106" s="752"/>
      <c r="B106" s="935"/>
      <c r="C106" s="933" t="s">
        <v>101</v>
      </c>
      <c r="D106" s="934"/>
      <c r="E106" s="755"/>
      <c r="F106" s="907">
        <v>60</v>
      </c>
      <c r="G106" s="672">
        <v>12.9</v>
      </c>
      <c r="H106" s="673">
        <v>1777</v>
      </c>
      <c r="I106" s="931">
        <v>11</v>
      </c>
      <c r="J106" s="687">
        <v>1833</v>
      </c>
      <c r="K106" s="645"/>
      <c r="L106" s="646"/>
      <c r="M106" s="924"/>
      <c r="N106" s="446">
        <v>0.3</v>
      </c>
      <c r="O106" s="90">
        <v>0.1</v>
      </c>
      <c r="P106" s="88">
        <v>0.04</v>
      </c>
      <c r="R106" s="140"/>
    </row>
    <row r="107" spans="1:18" s="75" customFormat="1" ht="56.45" customHeight="1" thickBot="1">
      <c r="A107" s="752"/>
      <c r="B107" s="935"/>
      <c r="C107" s="933" t="s">
        <v>102</v>
      </c>
      <c r="D107" s="934"/>
      <c r="E107" s="755"/>
      <c r="F107" s="907">
        <v>60</v>
      </c>
      <c r="G107" s="672">
        <v>12.9</v>
      </c>
      <c r="H107" s="673">
        <v>1777</v>
      </c>
      <c r="I107" s="931">
        <v>11</v>
      </c>
      <c r="J107" s="687">
        <v>1833</v>
      </c>
      <c r="K107" s="645"/>
      <c r="L107" s="646"/>
      <c r="M107" s="924"/>
      <c r="N107" s="446">
        <v>0.3</v>
      </c>
      <c r="O107" s="90">
        <v>0.1</v>
      </c>
      <c r="P107" s="88">
        <v>0.04</v>
      </c>
      <c r="R107" s="140"/>
    </row>
    <row r="108" spans="1:18" s="75" customFormat="1" ht="56.45" customHeight="1" thickBot="1">
      <c r="A108" s="752"/>
      <c r="B108" s="935"/>
      <c r="C108" s="933" t="s">
        <v>103</v>
      </c>
      <c r="D108" s="934"/>
      <c r="E108" s="755"/>
      <c r="F108" s="907">
        <v>60</v>
      </c>
      <c r="G108" s="672">
        <v>12.9</v>
      </c>
      <c r="H108" s="673">
        <v>1777</v>
      </c>
      <c r="I108" s="931">
        <v>11</v>
      </c>
      <c r="J108" s="687">
        <v>1833</v>
      </c>
      <c r="K108" s="645"/>
      <c r="L108" s="646"/>
      <c r="M108" s="924"/>
      <c r="N108" s="446">
        <v>0.3</v>
      </c>
      <c r="O108" s="90">
        <v>0.1</v>
      </c>
      <c r="P108" s="88">
        <v>0.04</v>
      </c>
      <c r="R108" s="140"/>
    </row>
    <row r="109" spans="1:18" s="75" customFormat="1" ht="56.45" customHeight="1" thickBot="1">
      <c r="A109" s="752"/>
      <c r="B109" s="935"/>
      <c r="C109" s="933" t="s">
        <v>100</v>
      </c>
      <c r="D109" s="934"/>
      <c r="E109" s="755"/>
      <c r="F109" s="907">
        <v>60</v>
      </c>
      <c r="G109" s="672">
        <v>12.9</v>
      </c>
      <c r="H109" s="673">
        <v>1777</v>
      </c>
      <c r="I109" s="931">
        <v>11</v>
      </c>
      <c r="J109" s="687">
        <v>1833</v>
      </c>
      <c r="K109" s="645"/>
      <c r="L109" s="646"/>
      <c r="M109" s="924"/>
      <c r="N109" s="446">
        <v>0.3</v>
      </c>
      <c r="O109" s="90">
        <v>0.1</v>
      </c>
      <c r="P109" s="88">
        <v>0.04</v>
      </c>
      <c r="R109" s="140"/>
    </row>
    <row r="110" spans="1:18" s="75" customFormat="1" ht="56.45" customHeight="1" thickBot="1">
      <c r="A110" s="752"/>
      <c r="B110" s="935"/>
      <c r="C110" s="933" t="s">
        <v>99</v>
      </c>
      <c r="D110" s="934"/>
      <c r="E110" s="755"/>
      <c r="F110" s="907">
        <v>60</v>
      </c>
      <c r="G110" s="672">
        <v>12.9</v>
      </c>
      <c r="H110" s="673">
        <v>1777</v>
      </c>
      <c r="I110" s="931">
        <v>11</v>
      </c>
      <c r="J110" s="687">
        <v>1833</v>
      </c>
      <c r="K110" s="645"/>
      <c r="L110" s="646"/>
      <c r="M110" s="924"/>
      <c r="N110" s="446">
        <v>0.3</v>
      </c>
      <c r="O110" s="90">
        <v>0.1</v>
      </c>
      <c r="P110" s="88">
        <v>0.04</v>
      </c>
      <c r="R110" s="140"/>
    </row>
    <row r="111" spans="1:18" s="75" customFormat="1" ht="56.45" customHeight="1" thickBot="1">
      <c r="A111" s="752"/>
      <c r="B111" s="935"/>
      <c r="C111" s="933" t="s">
        <v>109</v>
      </c>
      <c r="D111" s="934"/>
      <c r="E111" s="755"/>
      <c r="F111" s="907">
        <v>60</v>
      </c>
      <c r="G111" s="672">
        <v>12.9</v>
      </c>
      <c r="H111" s="673">
        <v>1777</v>
      </c>
      <c r="I111" s="931">
        <v>11</v>
      </c>
      <c r="J111" s="687">
        <v>1833</v>
      </c>
      <c r="K111" s="645"/>
      <c r="L111" s="646"/>
      <c r="M111" s="924"/>
      <c r="N111" s="446">
        <v>0.3</v>
      </c>
      <c r="O111" s="90">
        <v>0.1</v>
      </c>
      <c r="P111" s="88">
        <v>0.04</v>
      </c>
      <c r="R111" s="140"/>
    </row>
    <row r="112" spans="1:18" s="75" customFormat="1" ht="56.45" customHeight="1" thickBot="1">
      <c r="A112" s="752"/>
      <c r="B112" s="935"/>
      <c r="C112" s="933" t="s">
        <v>97</v>
      </c>
      <c r="D112" s="934"/>
      <c r="E112" s="755"/>
      <c r="F112" s="907">
        <v>60</v>
      </c>
      <c r="G112" s="672">
        <v>12.9</v>
      </c>
      <c r="H112" s="673">
        <v>1777</v>
      </c>
      <c r="I112" s="931">
        <v>11</v>
      </c>
      <c r="J112" s="687">
        <v>1833</v>
      </c>
      <c r="K112" s="645"/>
      <c r="L112" s="646"/>
      <c r="M112" s="924"/>
      <c r="N112" s="446">
        <v>0.3</v>
      </c>
      <c r="O112" s="90">
        <v>0.1</v>
      </c>
      <c r="P112" s="88">
        <v>0.04</v>
      </c>
      <c r="R112" s="140"/>
    </row>
    <row r="113" spans="1:18" s="75" customFormat="1" ht="56.45" customHeight="1" thickBot="1">
      <c r="A113" s="752"/>
      <c r="B113" s="935"/>
      <c r="C113" s="933" t="s">
        <v>96</v>
      </c>
      <c r="D113" s="934"/>
      <c r="E113" s="755"/>
      <c r="F113" s="907">
        <v>60</v>
      </c>
      <c r="G113" s="672">
        <v>12.9</v>
      </c>
      <c r="H113" s="673">
        <v>1777</v>
      </c>
      <c r="I113" s="931">
        <v>11</v>
      </c>
      <c r="J113" s="687">
        <v>1833</v>
      </c>
      <c r="K113" s="645"/>
      <c r="L113" s="646"/>
      <c r="M113" s="924"/>
      <c r="N113" s="446">
        <v>0.3</v>
      </c>
      <c r="O113" s="90">
        <v>0.1</v>
      </c>
      <c r="P113" s="88">
        <v>0.04</v>
      </c>
      <c r="R113" s="140"/>
    </row>
    <row r="114" spans="1:18" s="75" customFormat="1" ht="56.45" customHeight="1" thickBot="1">
      <c r="A114" s="752"/>
      <c r="B114" s="935"/>
      <c r="C114" s="933" t="s">
        <v>93</v>
      </c>
      <c r="D114" s="934"/>
      <c r="E114" s="755"/>
      <c r="F114" s="907">
        <v>60</v>
      </c>
      <c r="G114" s="672">
        <v>12.9</v>
      </c>
      <c r="H114" s="673">
        <v>1777</v>
      </c>
      <c r="I114" s="931">
        <v>11</v>
      </c>
      <c r="J114" s="687">
        <v>1833</v>
      </c>
      <c r="K114" s="645"/>
      <c r="L114" s="646"/>
      <c r="M114" s="924"/>
      <c r="N114" s="446">
        <v>0.3</v>
      </c>
      <c r="O114" s="90">
        <v>0.1</v>
      </c>
      <c r="P114" s="88">
        <v>0.04</v>
      </c>
      <c r="R114" s="140"/>
    </row>
    <row r="115" spans="1:18" s="75" customFormat="1" ht="56.45" customHeight="1" thickBot="1">
      <c r="A115" s="752"/>
      <c r="B115" s="935"/>
      <c r="C115" s="933" t="s">
        <v>94</v>
      </c>
      <c r="D115" s="934"/>
      <c r="E115" s="755"/>
      <c r="F115" s="907">
        <v>60</v>
      </c>
      <c r="G115" s="672">
        <v>12.9</v>
      </c>
      <c r="H115" s="673">
        <v>1777</v>
      </c>
      <c r="I115" s="931">
        <v>11</v>
      </c>
      <c r="J115" s="687">
        <v>1833</v>
      </c>
      <c r="K115" s="645"/>
      <c r="L115" s="646"/>
      <c r="M115" s="924"/>
      <c r="N115" s="446">
        <v>0.3</v>
      </c>
      <c r="O115" s="90">
        <v>0.1</v>
      </c>
      <c r="P115" s="88">
        <v>0.04</v>
      </c>
      <c r="R115" s="140"/>
    </row>
    <row r="116" spans="1:18" s="75" customFormat="1" ht="56.45" customHeight="1" thickBot="1">
      <c r="A116" s="752"/>
      <c r="B116" s="935"/>
      <c r="C116" s="933" t="s">
        <v>112</v>
      </c>
      <c r="D116" s="934"/>
      <c r="E116" s="755"/>
      <c r="F116" s="907">
        <v>60</v>
      </c>
      <c r="G116" s="672">
        <v>12.9</v>
      </c>
      <c r="H116" s="673">
        <v>1777</v>
      </c>
      <c r="I116" s="931">
        <v>11</v>
      </c>
      <c r="J116" s="687">
        <v>1833</v>
      </c>
      <c r="K116" s="645"/>
      <c r="L116" s="646"/>
      <c r="M116" s="924"/>
      <c r="N116" s="446">
        <v>0.3</v>
      </c>
      <c r="O116" s="90">
        <v>0.1</v>
      </c>
      <c r="P116" s="88">
        <v>0.04</v>
      </c>
      <c r="R116" s="140"/>
    </row>
    <row r="117" spans="1:18" s="75" customFormat="1" ht="56.45" customHeight="1" thickBot="1">
      <c r="A117" s="752"/>
      <c r="B117" s="935"/>
      <c r="C117" s="933" t="s">
        <v>160</v>
      </c>
      <c r="D117" s="934"/>
      <c r="E117" s="755"/>
      <c r="F117" s="907">
        <v>60</v>
      </c>
      <c r="G117" s="672">
        <v>12.9</v>
      </c>
      <c r="H117" s="673">
        <v>1777</v>
      </c>
      <c r="I117" s="931">
        <v>11</v>
      </c>
      <c r="J117" s="687">
        <v>1833</v>
      </c>
      <c r="K117" s="645"/>
      <c r="L117" s="646"/>
      <c r="M117" s="924"/>
      <c r="N117" s="446">
        <v>0.3</v>
      </c>
      <c r="O117" s="90">
        <v>0.1</v>
      </c>
      <c r="P117" s="88">
        <v>0.04</v>
      </c>
      <c r="R117" s="140"/>
    </row>
    <row r="118" spans="1:18" s="75" customFormat="1" ht="56.45" customHeight="1" thickBot="1">
      <c r="A118" s="752"/>
      <c r="B118" s="935"/>
      <c r="C118" s="933" t="s">
        <v>133</v>
      </c>
      <c r="D118" s="934"/>
      <c r="E118" s="755"/>
      <c r="F118" s="907">
        <v>60</v>
      </c>
      <c r="G118" s="672">
        <v>12.9</v>
      </c>
      <c r="H118" s="673">
        <v>1777</v>
      </c>
      <c r="I118" s="931">
        <v>11</v>
      </c>
      <c r="J118" s="687">
        <v>1833</v>
      </c>
      <c r="K118" s="645"/>
      <c r="L118" s="646"/>
      <c r="M118" s="924"/>
      <c r="N118" s="446">
        <v>0.3</v>
      </c>
      <c r="O118" s="90">
        <v>0.1</v>
      </c>
      <c r="P118" s="88">
        <v>0.04</v>
      </c>
      <c r="R118" s="140"/>
    </row>
    <row r="119" spans="1:18" s="75" customFormat="1" ht="56.45" customHeight="1" thickBot="1">
      <c r="A119" s="760"/>
      <c r="B119" s="935"/>
      <c r="C119" s="933" t="s">
        <v>95</v>
      </c>
      <c r="D119" s="934"/>
      <c r="E119" s="762"/>
      <c r="F119" s="907">
        <v>60</v>
      </c>
      <c r="G119" s="672">
        <v>12.9</v>
      </c>
      <c r="H119" s="673">
        <v>1777</v>
      </c>
      <c r="I119" s="931">
        <v>11</v>
      </c>
      <c r="J119" s="687">
        <v>1833</v>
      </c>
      <c r="K119" s="645"/>
      <c r="L119" s="646"/>
      <c r="M119" s="924"/>
      <c r="N119" s="446">
        <v>0.3</v>
      </c>
      <c r="O119" s="90">
        <v>0.1</v>
      </c>
      <c r="P119" s="88">
        <v>0.04</v>
      </c>
      <c r="R119" s="140"/>
    </row>
    <row r="120" spans="1:18" ht="16.5" customHeight="1" thickBot="1">
      <c r="A120" s="648" t="s">
        <v>57</v>
      </c>
      <c r="B120" s="649"/>
      <c r="C120" s="649"/>
      <c r="D120" s="649"/>
      <c r="E120" s="649"/>
      <c r="F120" s="649"/>
      <c r="G120" s="649"/>
      <c r="H120" s="649"/>
      <c r="I120" s="649"/>
      <c r="J120" s="665"/>
      <c r="K120" s="645"/>
      <c r="L120" s="646">
        <v>0</v>
      </c>
      <c r="M120" s="789"/>
      <c r="N120" s="10" t="e">
        <v>#DIV/0!</v>
      </c>
      <c r="O120" s="11" t="e">
        <v>#DIV/0!</v>
      </c>
      <c r="P120" s="9" t="e">
        <v>#DIV/0!</v>
      </c>
      <c r="R120" s="70"/>
    </row>
    <row r="121" spans="1:18" ht="45.75" customHeight="1" thickBot="1">
      <c r="A121" s="745">
        <v>12</v>
      </c>
      <c r="B121" s="711"/>
      <c r="C121" s="936" t="s">
        <v>100</v>
      </c>
      <c r="D121" s="669" t="s">
        <v>78</v>
      </c>
      <c r="E121" s="937" t="s">
        <v>58</v>
      </c>
      <c r="F121" s="747">
        <v>40</v>
      </c>
      <c r="G121" s="938">
        <v>20.74</v>
      </c>
      <c r="H121" s="939">
        <v>1903</v>
      </c>
      <c r="I121" s="940">
        <v>10</v>
      </c>
      <c r="J121" s="941">
        <v>1494</v>
      </c>
      <c r="K121" s="645"/>
      <c r="L121" s="646"/>
      <c r="M121" s="890"/>
      <c r="N121" s="89">
        <v>0.3</v>
      </c>
      <c r="O121" s="90">
        <v>0.1</v>
      </c>
      <c r="P121" s="88">
        <v>0.04</v>
      </c>
      <c r="Q121" s="75"/>
      <c r="R121" s="140">
        <f>939*1.1</f>
        <v>1032.9000000000001</v>
      </c>
    </row>
    <row r="122" spans="1:18" ht="45.75" customHeight="1" thickBot="1">
      <c r="A122" s="752"/>
      <c r="B122" s="711"/>
      <c r="C122" s="942" t="s">
        <v>101</v>
      </c>
      <c r="D122" s="669" t="s">
        <v>78</v>
      </c>
      <c r="E122" s="937"/>
      <c r="F122" s="755"/>
      <c r="G122" s="938">
        <v>20.74</v>
      </c>
      <c r="H122" s="939">
        <v>1903</v>
      </c>
      <c r="I122" s="940">
        <v>10</v>
      </c>
      <c r="J122" s="941">
        <v>1494</v>
      </c>
      <c r="K122" s="645"/>
      <c r="L122" s="646"/>
      <c r="M122" s="890"/>
      <c r="N122" s="89">
        <v>0.3</v>
      </c>
      <c r="O122" s="90">
        <v>0.1</v>
      </c>
      <c r="P122" s="88">
        <v>0.04</v>
      </c>
      <c r="Q122" s="75"/>
      <c r="R122" s="140">
        <f>939*1.1</f>
        <v>1032.9000000000001</v>
      </c>
    </row>
    <row r="123" spans="1:18" ht="45.75" customHeight="1" thickBot="1">
      <c r="A123" s="752"/>
      <c r="B123" s="711"/>
      <c r="C123" s="942" t="s">
        <v>92</v>
      </c>
      <c r="D123" s="669" t="s">
        <v>78</v>
      </c>
      <c r="E123" s="937"/>
      <c r="F123" s="755"/>
      <c r="G123" s="938">
        <v>20.74</v>
      </c>
      <c r="H123" s="939">
        <v>1903</v>
      </c>
      <c r="I123" s="940">
        <v>10</v>
      </c>
      <c r="J123" s="941">
        <v>1494</v>
      </c>
      <c r="K123" s="645"/>
      <c r="L123" s="646"/>
      <c r="M123" s="890"/>
      <c r="N123" s="89">
        <v>0.3</v>
      </c>
      <c r="O123" s="90">
        <v>0.1</v>
      </c>
      <c r="P123" s="88">
        <v>0.04</v>
      </c>
      <c r="Q123" s="75"/>
      <c r="R123" s="140">
        <f>939*1.1</f>
        <v>1032.9000000000001</v>
      </c>
    </row>
    <row r="124" spans="1:18" s="75" customFormat="1" ht="45.75" customHeight="1" thickBot="1">
      <c r="A124" s="752"/>
      <c r="B124" s="944"/>
      <c r="C124" s="942" t="s">
        <v>154</v>
      </c>
      <c r="D124" s="669" t="s">
        <v>78</v>
      </c>
      <c r="E124" s="937"/>
      <c r="F124" s="755"/>
      <c r="G124" s="938">
        <v>20.74</v>
      </c>
      <c r="H124" s="939">
        <v>1903</v>
      </c>
      <c r="I124" s="940">
        <v>10</v>
      </c>
      <c r="J124" s="941">
        <v>1494</v>
      </c>
      <c r="K124" s="645"/>
      <c r="L124" s="646"/>
      <c r="M124" s="890"/>
      <c r="N124" s="89">
        <v>0.3</v>
      </c>
      <c r="O124" s="90">
        <v>0.1</v>
      </c>
      <c r="P124" s="88">
        <v>0.04</v>
      </c>
      <c r="R124" s="140"/>
    </row>
    <row r="125" spans="1:18" ht="46.5" customHeight="1" thickBot="1">
      <c r="A125" s="752"/>
      <c r="B125" s="944"/>
      <c r="C125" s="942" t="s">
        <v>68</v>
      </c>
      <c r="D125" s="945" t="s">
        <v>78</v>
      </c>
      <c r="E125" s="937"/>
      <c r="F125" s="755"/>
      <c r="G125" s="938">
        <v>20.74</v>
      </c>
      <c r="H125" s="939">
        <v>1903</v>
      </c>
      <c r="I125" s="940">
        <v>10</v>
      </c>
      <c r="J125" s="941">
        <v>1494</v>
      </c>
      <c r="K125" s="645"/>
      <c r="L125" s="646">
        <v>782.2</v>
      </c>
      <c r="M125" s="946">
        <v>896</v>
      </c>
      <c r="N125" s="89">
        <v>0.3</v>
      </c>
      <c r="O125" s="90">
        <v>0.1</v>
      </c>
      <c r="P125" s="88">
        <v>0.04</v>
      </c>
      <c r="R125" s="70">
        <f>939*1.1</f>
        <v>1032.9000000000001</v>
      </c>
    </row>
    <row r="126" spans="1:18" s="75" customFormat="1" ht="46.5" customHeight="1" thickBot="1">
      <c r="A126" s="760"/>
      <c r="B126" s="947"/>
      <c r="C126" s="948" t="s">
        <v>160</v>
      </c>
      <c r="D126" s="945" t="s">
        <v>78</v>
      </c>
      <c r="E126" s="949"/>
      <c r="F126" s="762"/>
      <c r="G126" s="938">
        <v>20.74</v>
      </c>
      <c r="H126" s="939">
        <v>1903</v>
      </c>
      <c r="I126" s="940">
        <v>10</v>
      </c>
      <c r="J126" s="941">
        <v>1494</v>
      </c>
      <c r="K126" s="645"/>
      <c r="L126" s="646"/>
      <c r="M126" s="924"/>
      <c r="N126" s="89">
        <v>0.3</v>
      </c>
      <c r="O126" s="90">
        <v>0.1</v>
      </c>
      <c r="P126" s="88">
        <v>0.04</v>
      </c>
      <c r="R126" s="140"/>
    </row>
    <row r="127" spans="1:18" ht="17.25" customHeight="1" thickBot="1">
      <c r="A127" s="950" t="s">
        <v>121</v>
      </c>
      <c r="B127" s="951"/>
      <c r="C127" s="951"/>
      <c r="D127" s="951"/>
      <c r="E127" s="951"/>
      <c r="F127" s="951"/>
      <c r="G127" s="951"/>
      <c r="H127" s="951"/>
      <c r="I127" s="951"/>
      <c r="J127" s="952"/>
      <c r="K127" s="645"/>
      <c r="L127" s="646"/>
      <c r="M127" s="924"/>
      <c r="N127" s="10"/>
      <c r="O127" s="90"/>
      <c r="P127" s="9"/>
      <c r="R127" s="70"/>
    </row>
    <row r="128" spans="1:18" ht="50.25" customHeight="1" thickBot="1">
      <c r="A128" s="688">
        <v>13</v>
      </c>
      <c r="B128" s="953"/>
      <c r="C128" s="936" t="s">
        <v>101</v>
      </c>
      <c r="D128" s="691" t="s">
        <v>78</v>
      </c>
      <c r="E128" s="954" t="s">
        <v>122</v>
      </c>
      <c r="F128" s="747">
        <v>60</v>
      </c>
      <c r="G128" s="955">
        <v>13.18</v>
      </c>
      <c r="H128" s="956">
        <v>1815</v>
      </c>
      <c r="I128" s="957">
        <v>11</v>
      </c>
      <c r="J128" s="941">
        <v>1887</v>
      </c>
      <c r="K128" s="645"/>
      <c r="L128" s="646"/>
      <c r="M128" s="924"/>
      <c r="N128" s="10"/>
      <c r="O128" s="11"/>
      <c r="P128" s="9"/>
      <c r="R128" s="70">
        <f>967*1.1</f>
        <v>1063.7</v>
      </c>
    </row>
    <row r="129" spans="1:18" ht="49.5" customHeight="1" thickBot="1">
      <c r="A129" s="733"/>
      <c r="B129" s="958"/>
      <c r="C129" s="948" t="s">
        <v>92</v>
      </c>
      <c r="D129" s="691" t="s">
        <v>78</v>
      </c>
      <c r="E129" s="959"/>
      <c r="F129" s="762"/>
      <c r="G129" s="960">
        <v>13.18</v>
      </c>
      <c r="H129" s="961">
        <v>1815</v>
      </c>
      <c r="I129" s="962">
        <v>11</v>
      </c>
      <c r="J129" s="963">
        <v>1887</v>
      </c>
      <c r="K129" s="645"/>
      <c r="L129" s="646"/>
      <c r="M129" s="924"/>
      <c r="N129" s="10"/>
      <c r="O129" s="11"/>
      <c r="P129" s="9"/>
      <c r="R129" s="70"/>
    </row>
    <row r="130" spans="1:18" s="75" customFormat="1" ht="25.15" customHeight="1" thickBot="1">
      <c r="A130" s="741" t="s">
        <v>155</v>
      </c>
      <c r="B130" s="742"/>
      <c r="C130" s="742"/>
      <c r="D130" s="742"/>
      <c r="E130" s="742"/>
      <c r="F130" s="964"/>
      <c r="G130" s="964"/>
      <c r="H130" s="964"/>
      <c r="I130" s="964"/>
      <c r="J130" s="964"/>
      <c r="K130" s="645"/>
      <c r="L130" s="646"/>
      <c r="M130" s="924"/>
      <c r="N130" s="89"/>
      <c r="O130" s="90"/>
      <c r="P130" s="88"/>
      <c r="R130" s="140"/>
    </row>
    <row r="131" spans="1:18" s="75" customFormat="1" ht="49.5" customHeight="1" thickBot="1">
      <c r="A131" s="745">
        <v>14</v>
      </c>
      <c r="B131" s="791"/>
      <c r="C131" s="936" t="s">
        <v>101</v>
      </c>
      <c r="D131" s="691" t="s">
        <v>78</v>
      </c>
      <c r="E131" s="965" t="s">
        <v>156</v>
      </c>
      <c r="F131" s="966">
        <v>60</v>
      </c>
      <c r="G131" s="956">
        <v>12.9</v>
      </c>
      <c r="H131" s="956">
        <v>1761</v>
      </c>
      <c r="I131" s="967">
        <v>11</v>
      </c>
      <c r="J131" s="941" t="e">
        <f>ROUND(#REF!*0.95,0)</f>
        <v>#REF!</v>
      </c>
      <c r="K131" s="645"/>
      <c r="L131" s="646"/>
      <c r="M131" s="924"/>
      <c r="N131" s="89"/>
      <c r="O131" s="90"/>
      <c r="P131" s="88"/>
      <c r="R131" s="140"/>
    </row>
    <row r="132" spans="1:18" s="75" customFormat="1" ht="49.5" customHeight="1" thickBot="1">
      <c r="A132" s="752"/>
      <c r="B132" s="968"/>
      <c r="C132" s="820" t="s">
        <v>91</v>
      </c>
      <c r="D132" s="691" t="s">
        <v>78</v>
      </c>
      <c r="E132" s="969"/>
      <c r="F132" s="970"/>
      <c r="G132" s="939">
        <v>12.9</v>
      </c>
      <c r="H132" s="939">
        <v>1761</v>
      </c>
      <c r="I132" s="971">
        <v>11</v>
      </c>
      <c r="J132" s="943" t="e">
        <f>ROUND(#REF!*0.95,0)</f>
        <v>#REF!</v>
      </c>
      <c r="K132" s="645"/>
      <c r="L132" s="646"/>
      <c r="M132" s="924"/>
      <c r="N132" s="89"/>
      <c r="O132" s="90"/>
      <c r="P132" s="88"/>
      <c r="R132" s="140"/>
    </row>
    <row r="133" spans="1:18" s="75" customFormat="1" ht="49.5" customHeight="1" thickBot="1">
      <c r="A133" s="760"/>
      <c r="B133" s="968"/>
      <c r="C133" s="826" t="s">
        <v>131</v>
      </c>
      <c r="D133" s="727" t="s">
        <v>78</v>
      </c>
      <c r="E133" s="972"/>
      <c r="F133" s="973"/>
      <c r="G133" s="961">
        <v>12.9</v>
      </c>
      <c r="H133" s="961">
        <v>1761</v>
      </c>
      <c r="I133" s="974">
        <v>11</v>
      </c>
      <c r="J133" s="963" t="e">
        <f>ROUND(#REF!*0.95,0)</f>
        <v>#REF!</v>
      </c>
      <c r="K133" s="645"/>
      <c r="L133" s="646"/>
      <c r="M133" s="924"/>
      <c r="N133" s="89"/>
      <c r="O133" s="90"/>
      <c r="P133" s="88"/>
      <c r="R133" s="140"/>
    </row>
    <row r="134" spans="1:18" s="75" customFormat="1" ht="18" customHeight="1" thickBot="1">
      <c r="A134" s="741" t="s">
        <v>150</v>
      </c>
      <c r="B134" s="742"/>
      <c r="C134" s="742"/>
      <c r="D134" s="742"/>
      <c r="E134" s="742"/>
      <c r="F134" s="975"/>
      <c r="G134" s="975"/>
      <c r="H134" s="975"/>
      <c r="I134" s="975"/>
      <c r="J134" s="975"/>
      <c r="K134" s="645"/>
      <c r="L134" s="646"/>
      <c r="M134" s="924"/>
      <c r="N134" s="89"/>
      <c r="O134" s="90"/>
      <c r="P134" s="88"/>
      <c r="R134" s="140"/>
    </row>
    <row r="135" spans="1:18" s="75" customFormat="1" ht="49.9" customHeight="1" thickBot="1">
      <c r="A135" s="688">
        <v>15</v>
      </c>
      <c r="B135" s="865"/>
      <c r="C135" s="690" t="s">
        <v>86</v>
      </c>
      <c r="D135" s="669" t="s">
        <v>78</v>
      </c>
      <c r="E135" s="907" t="s">
        <v>40</v>
      </c>
      <c r="F135" s="976">
        <v>60</v>
      </c>
      <c r="G135" s="671">
        <v>12.24</v>
      </c>
      <c r="H135" s="671">
        <v>1650</v>
      </c>
      <c r="I135" s="671">
        <v>12</v>
      </c>
      <c r="J135" s="941" t="e">
        <f>ROUND(#REF!*0.95,0)</f>
        <v>#REF!</v>
      </c>
      <c r="K135" s="645"/>
      <c r="L135" s="646"/>
      <c r="M135" s="924"/>
      <c r="N135" s="89"/>
      <c r="O135" s="90"/>
      <c r="P135" s="88"/>
      <c r="R135" s="140"/>
    </row>
    <row r="136" spans="1:18" s="75" customFormat="1" ht="49.9" customHeight="1" thickBot="1">
      <c r="A136" s="699"/>
      <c r="B136" s="977"/>
      <c r="C136" s="754" t="s">
        <v>93</v>
      </c>
      <c r="D136" s="669" t="s">
        <v>78</v>
      </c>
      <c r="E136" s="978" t="s">
        <v>40</v>
      </c>
      <c r="F136" s="979">
        <v>60</v>
      </c>
      <c r="G136" s="980">
        <v>12.24</v>
      </c>
      <c r="H136" s="980">
        <v>1650</v>
      </c>
      <c r="I136" s="980">
        <v>12</v>
      </c>
      <c r="J136" s="943" t="e">
        <f>ROUND(#REF!*0.95,0)</f>
        <v>#REF!</v>
      </c>
      <c r="K136" s="645"/>
      <c r="L136" s="646"/>
      <c r="M136" s="924"/>
      <c r="N136" s="89"/>
      <c r="O136" s="90"/>
      <c r="P136" s="88"/>
      <c r="R136" s="140"/>
    </row>
    <row r="137" spans="1:18" s="75" customFormat="1" ht="49.9" customHeight="1" thickBot="1">
      <c r="A137" s="699"/>
      <c r="B137" s="977"/>
      <c r="C137" s="754" t="s">
        <v>85</v>
      </c>
      <c r="D137" s="669" t="s">
        <v>78</v>
      </c>
      <c r="E137" s="978" t="s">
        <v>40</v>
      </c>
      <c r="F137" s="979">
        <v>60</v>
      </c>
      <c r="G137" s="980">
        <v>12.24</v>
      </c>
      <c r="H137" s="980">
        <v>1650</v>
      </c>
      <c r="I137" s="980">
        <v>12</v>
      </c>
      <c r="J137" s="941" t="e">
        <f>ROUND(#REF!*0.95,0)</f>
        <v>#REF!</v>
      </c>
      <c r="K137" s="645"/>
      <c r="L137" s="646"/>
      <c r="M137" s="924"/>
      <c r="N137" s="89"/>
      <c r="O137" s="90"/>
      <c r="P137" s="88"/>
      <c r="R137" s="140"/>
    </row>
    <row r="138" spans="1:18" s="75" customFormat="1" ht="49.9" customHeight="1" thickBot="1">
      <c r="A138" s="733"/>
      <c r="B138" s="981"/>
      <c r="C138" s="761" t="s">
        <v>68</v>
      </c>
      <c r="D138" s="669" t="s">
        <v>78</v>
      </c>
      <c r="E138" s="912" t="s">
        <v>40</v>
      </c>
      <c r="F138" s="982">
        <v>60</v>
      </c>
      <c r="G138" s="683">
        <v>12.24</v>
      </c>
      <c r="H138" s="683">
        <v>1650</v>
      </c>
      <c r="I138" s="683">
        <v>12</v>
      </c>
      <c r="J138" s="943" t="e">
        <f>ROUND(#REF!*0.95,0)</f>
        <v>#REF!</v>
      </c>
      <c r="K138" s="645"/>
      <c r="L138" s="646"/>
      <c r="M138" s="924"/>
      <c r="N138" s="89"/>
      <c r="O138" s="90"/>
      <c r="P138" s="88"/>
      <c r="R138" s="140"/>
    </row>
    <row r="139" spans="1:18" ht="15.75" customHeight="1" thickBot="1">
      <c r="A139" s="648" t="s">
        <v>34</v>
      </c>
      <c r="B139" s="649"/>
      <c r="C139" s="649"/>
      <c r="D139" s="649"/>
      <c r="E139" s="649"/>
      <c r="F139" s="649"/>
      <c r="G139" s="649"/>
      <c r="H139" s="649"/>
      <c r="I139" s="649"/>
      <c r="J139" s="649"/>
      <c r="K139" s="645"/>
      <c r="L139" s="646">
        <v>0</v>
      </c>
      <c r="M139" s="983"/>
      <c r="N139" s="10" t="e">
        <v>#DIV/0!</v>
      </c>
      <c r="O139" s="11" t="e">
        <v>#DIV/0!</v>
      </c>
      <c r="P139" s="9" t="e">
        <v>#DIV/0!</v>
      </c>
      <c r="Q139" s="268"/>
      <c r="R139" s="70"/>
    </row>
    <row r="140" spans="1:18" ht="19.5" customHeight="1">
      <c r="A140" s="699">
        <v>16</v>
      </c>
      <c r="B140" s="984"/>
      <c r="C140" s="985" t="s">
        <v>6</v>
      </c>
      <c r="D140" s="866" t="s">
        <v>78</v>
      </c>
      <c r="E140" s="986" t="s">
        <v>42</v>
      </c>
      <c r="F140" s="907">
        <v>40</v>
      </c>
      <c r="G140" s="987">
        <v>19.440000000000001</v>
      </c>
      <c r="H140" s="988">
        <v>1781</v>
      </c>
      <c r="I140" s="989">
        <v>11</v>
      </c>
      <c r="J140" s="675">
        <v>957</v>
      </c>
      <c r="K140" s="645"/>
      <c r="L140" s="646">
        <v>361.02</v>
      </c>
      <c r="M140" s="777">
        <v>406</v>
      </c>
      <c r="N140" s="10">
        <v>0.1</v>
      </c>
      <c r="O140" s="11">
        <v>0.03</v>
      </c>
      <c r="P140" s="9">
        <v>0.02</v>
      </c>
      <c r="R140" s="70">
        <f>434*1.1</f>
        <v>477.40000000000003</v>
      </c>
    </row>
    <row r="141" spans="1:18" ht="19.5" customHeight="1">
      <c r="A141" s="699"/>
      <c r="B141" s="984"/>
      <c r="C141" s="985"/>
      <c r="D141" s="990" t="s">
        <v>78</v>
      </c>
      <c r="E141" s="991"/>
      <c r="F141" s="978">
        <v>60</v>
      </c>
      <c r="G141" s="992">
        <v>12.96</v>
      </c>
      <c r="H141" s="993">
        <v>1785</v>
      </c>
      <c r="I141" s="994">
        <v>11</v>
      </c>
      <c r="J141" s="782">
        <v>1096</v>
      </c>
      <c r="K141" s="645"/>
      <c r="L141" s="646">
        <v>433.9</v>
      </c>
      <c r="M141" s="777">
        <v>488</v>
      </c>
      <c r="N141" s="10">
        <v>0.1</v>
      </c>
      <c r="O141" s="11">
        <v>0.03</v>
      </c>
      <c r="P141" s="9">
        <v>0.02</v>
      </c>
      <c r="R141" s="70">
        <f>521*1.1</f>
        <v>573.1</v>
      </c>
    </row>
    <row r="142" spans="1:18" ht="20.25" customHeight="1" thickBot="1">
      <c r="A142" s="699"/>
      <c r="B142" s="984"/>
      <c r="C142" s="985"/>
      <c r="D142" s="995"/>
      <c r="E142" s="996"/>
      <c r="F142" s="912">
        <v>80</v>
      </c>
      <c r="G142" s="997">
        <v>10.8</v>
      </c>
      <c r="H142" s="998">
        <v>1982</v>
      </c>
      <c r="I142" s="999">
        <v>10</v>
      </c>
      <c r="J142" s="687">
        <v>1326</v>
      </c>
      <c r="K142" s="645"/>
      <c r="L142" s="646">
        <v>523.73</v>
      </c>
      <c r="M142" s="946">
        <v>589</v>
      </c>
      <c r="N142" s="10">
        <v>0.1</v>
      </c>
      <c r="O142" s="11">
        <v>0.03</v>
      </c>
      <c r="P142" s="9">
        <v>0.02</v>
      </c>
      <c r="R142" s="70">
        <f>629*1.1</f>
        <v>691.90000000000009</v>
      </c>
    </row>
    <row r="143" spans="1:18" s="75" customFormat="1" ht="30.75" customHeight="1" thickBot="1">
      <c r="A143" s="699"/>
      <c r="B143" s="1000"/>
      <c r="C143" s="895"/>
      <c r="D143" s="934"/>
      <c r="E143" s="1001" t="s">
        <v>20</v>
      </c>
      <c r="F143" s="1001">
        <v>70</v>
      </c>
      <c r="G143" s="1002">
        <v>12.67</v>
      </c>
      <c r="H143" s="1003">
        <v>2046</v>
      </c>
      <c r="I143" s="1004">
        <v>9</v>
      </c>
      <c r="J143" s="687">
        <v>1199</v>
      </c>
      <c r="K143" s="645"/>
      <c r="L143" s="646"/>
      <c r="M143" s="946"/>
      <c r="N143" s="89"/>
      <c r="O143" s="90"/>
      <c r="P143" s="88">
        <v>0.02</v>
      </c>
      <c r="R143" s="140"/>
    </row>
    <row r="144" spans="1:18" ht="30" customHeight="1">
      <c r="A144" s="699"/>
      <c r="B144" s="1005"/>
      <c r="C144" s="1006" t="s">
        <v>38</v>
      </c>
      <c r="D144" s="866" t="s">
        <v>78</v>
      </c>
      <c r="E144" s="986" t="s">
        <v>42</v>
      </c>
      <c r="F144" s="907">
        <v>40</v>
      </c>
      <c r="G144" s="987">
        <v>19.440000000000001</v>
      </c>
      <c r="H144" s="988">
        <v>1781</v>
      </c>
      <c r="I144" s="989">
        <v>11</v>
      </c>
      <c r="J144" s="675">
        <v>1074</v>
      </c>
      <c r="K144" s="645"/>
      <c r="L144" s="646">
        <v>407.63</v>
      </c>
      <c r="M144" s="777">
        <v>458</v>
      </c>
      <c r="N144" s="10">
        <v>0.15</v>
      </c>
      <c r="O144" s="11">
        <v>0.05</v>
      </c>
      <c r="P144" s="9">
        <v>0.03</v>
      </c>
      <c r="R144" s="70">
        <f>490*1.1</f>
        <v>539</v>
      </c>
    </row>
    <row r="145" spans="1:18" ht="30" customHeight="1" thickBot="1">
      <c r="A145" s="699"/>
      <c r="B145" s="1007"/>
      <c r="C145" s="1008"/>
      <c r="D145" s="990" t="s">
        <v>78</v>
      </c>
      <c r="E145" s="996"/>
      <c r="F145" s="912">
        <v>60</v>
      </c>
      <c r="G145" s="997">
        <v>12.96</v>
      </c>
      <c r="H145" s="998">
        <v>1785</v>
      </c>
      <c r="I145" s="999">
        <v>11</v>
      </c>
      <c r="J145" s="687">
        <v>1253</v>
      </c>
      <c r="K145" s="645"/>
      <c r="L145" s="646">
        <v>501.69</v>
      </c>
      <c r="M145" s="777">
        <v>564</v>
      </c>
      <c r="N145" s="10">
        <v>0.15</v>
      </c>
      <c r="O145" s="11">
        <v>0.05</v>
      </c>
      <c r="P145" s="9">
        <v>0.03</v>
      </c>
      <c r="R145" s="70">
        <f>602*1.1</f>
        <v>662.2</v>
      </c>
    </row>
    <row r="146" spans="1:18" ht="30" customHeight="1">
      <c r="A146" s="699"/>
      <c r="B146" s="1009"/>
      <c r="C146" s="1010" t="s">
        <v>12</v>
      </c>
      <c r="D146" s="691" t="s">
        <v>78</v>
      </c>
      <c r="E146" s="986" t="s">
        <v>42</v>
      </c>
      <c r="F146" s="907">
        <v>40</v>
      </c>
      <c r="G146" s="987">
        <v>19.440000000000001</v>
      </c>
      <c r="H146" s="988">
        <v>1781</v>
      </c>
      <c r="I146" s="989">
        <v>11</v>
      </c>
      <c r="J146" s="675">
        <v>1074</v>
      </c>
      <c r="K146" s="645"/>
      <c r="L146" s="646">
        <v>407.63</v>
      </c>
      <c r="M146" s="777">
        <v>458</v>
      </c>
      <c r="N146" s="10">
        <v>0.15</v>
      </c>
      <c r="O146" s="11">
        <v>0.05</v>
      </c>
      <c r="P146" s="9">
        <v>0.03</v>
      </c>
      <c r="R146" s="140">
        <f>490*1.1</f>
        <v>539</v>
      </c>
    </row>
    <row r="147" spans="1:18" ht="30" customHeight="1" thickBot="1">
      <c r="A147" s="699"/>
      <c r="B147" s="1011"/>
      <c r="C147" s="1012"/>
      <c r="D147" s="727" t="s">
        <v>78</v>
      </c>
      <c r="E147" s="996"/>
      <c r="F147" s="912">
        <v>60</v>
      </c>
      <c r="G147" s="997">
        <v>12.96</v>
      </c>
      <c r="H147" s="998">
        <v>1785</v>
      </c>
      <c r="I147" s="999">
        <v>11</v>
      </c>
      <c r="J147" s="687">
        <v>1253</v>
      </c>
      <c r="K147" s="645"/>
      <c r="L147" s="646">
        <v>501.69</v>
      </c>
      <c r="M147" s="777">
        <v>564</v>
      </c>
      <c r="N147" s="10">
        <v>0.15</v>
      </c>
      <c r="O147" s="11">
        <v>0.05</v>
      </c>
      <c r="P147" s="9">
        <v>0.03</v>
      </c>
      <c r="R147" s="140">
        <f>602*1.1</f>
        <v>662.2</v>
      </c>
    </row>
    <row r="148" spans="1:18" ht="30" customHeight="1">
      <c r="A148" s="699"/>
      <c r="B148" s="892"/>
      <c r="C148" s="1006" t="s">
        <v>13</v>
      </c>
      <c r="D148" s="691"/>
      <c r="E148" s="986" t="s">
        <v>42</v>
      </c>
      <c r="F148" s="907">
        <v>40</v>
      </c>
      <c r="G148" s="987">
        <v>19.440000000000001</v>
      </c>
      <c r="H148" s="988">
        <v>1781</v>
      </c>
      <c r="I148" s="989">
        <v>11</v>
      </c>
      <c r="J148" s="675">
        <v>1074</v>
      </c>
      <c r="K148" s="645"/>
      <c r="L148" s="646">
        <v>407.63</v>
      </c>
      <c r="M148" s="777">
        <v>485</v>
      </c>
      <c r="N148" s="52">
        <v>0.15</v>
      </c>
      <c r="O148" s="11">
        <v>0.05</v>
      </c>
      <c r="P148" s="9">
        <v>3.0000000000000027E-2</v>
      </c>
      <c r="R148" s="140">
        <f>490*1.1</f>
        <v>539</v>
      </c>
    </row>
    <row r="149" spans="1:18" ht="30" customHeight="1" thickBot="1">
      <c r="A149" s="699"/>
      <c r="B149" s="895"/>
      <c r="C149" s="1008"/>
      <c r="D149" s="727"/>
      <c r="E149" s="996"/>
      <c r="F149" s="912">
        <v>60</v>
      </c>
      <c r="G149" s="997">
        <v>12.96</v>
      </c>
      <c r="H149" s="998">
        <v>1785</v>
      </c>
      <c r="I149" s="999">
        <v>11</v>
      </c>
      <c r="J149" s="687">
        <v>1253</v>
      </c>
      <c r="K149" s="645"/>
      <c r="L149" s="646">
        <v>501.69</v>
      </c>
      <c r="M149" s="777">
        <v>564</v>
      </c>
      <c r="N149" s="10">
        <v>0.15</v>
      </c>
      <c r="O149" s="11">
        <v>0.05</v>
      </c>
      <c r="P149" s="9">
        <v>0.03</v>
      </c>
      <c r="R149" s="140">
        <f>602*1.1</f>
        <v>662.2</v>
      </c>
    </row>
    <row r="150" spans="1:18" ht="30" customHeight="1">
      <c r="A150" s="699"/>
      <c r="B150" s="892"/>
      <c r="C150" s="1013" t="s">
        <v>44</v>
      </c>
      <c r="D150" s="866" t="s">
        <v>78</v>
      </c>
      <c r="E150" s="986" t="s">
        <v>42</v>
      </c>
      <c r="F150" s="907">
        <v>40</v>
      </c>
      <c r="G150" s="987">
        <v>19.440000000000001</v>
      </c>
      <c r="H150" s="988">
        <v>1781</v>
      </c>
      <c r="I150" s="989">
        <v>11</v>
      </c>
      <c r="J150" s="675">
        <v>1074</v>
      </c>
      <c r="K150" s="645"/>
      <c r="L150" s="646">
        <v>407.63</v>
      </c>
      <c r="M150" s="777">
        <v>485</v>
      </c>
      <c r="N150" s="52">
        <v>0.15</v>
      </c>
      <c r="O150" s="11">
        <v>0.05</v>
      </c>
      <c r="P150" s="9">
        <v>3.0000000000000027E-2</v>
      </c>
      <c r="R150" s="140">
        <f>490*1.1</f>
        <v>539</v>
      </c>
    </row>
    <row r="151" spans="1:18" ht="30" customHeight="1" thickBot="1">
      <c r="A151" s="699"/>
      <c r="B151" s="895"/>
      <c r="C151" s="1014"/>
      <c r="D151" s="990" t="s">
        <v>78</v>
      </c>
      <c r="E151" s="996"/>
      <c r="F151" s="912">
        <v>60</v>
      </c>
      <c r="G151" s="997">
        <v>12.96</v>
      </c>
      <c r="H151" s="998">
        <v>1785</v>
      </c>
      <c r="I151" s="999">
        <v>11</v>
      </c>
      <c r="J151" s="687">
        <v>1253</v>
      </c>
      <c r="K151" s="645"/>
      <c r="L151" s="646">
        <v>501.69</v>
      </c>
      <c r="M151" s="777">
        <v>564</v>
      </c>
      <c r="N151" s="10">
        <v>0.15</v>
      </c>
      <c r="O151" s="11">
        <v>0.05</v>
      </c>
      <c r="P151" s="9">
        <v>0.03</v>
      </c>
      <c r="R151" s="140">
        <f>602*1.1</f>
        <v>662.2</v>
      </c>
    </row>
    <row r="152" spans="1:18" ht="34.5" customHeight="1" thickBot="1">
      <c r="A152" s="699"/>
      <c r="B152" s="1015"/>
      <c r="C152" s="690" t="s">
        <v>101</v>
      </c>
      <c r="D152" s="691" t="s">
        <v>78</v>
      </c>
      <c r="E152" s="907" t="s">
        <v>42</v>
      </c>
      <c r="F152" s="976">
        <v>40</v>
      </c>
      <c r="G152" s="907">
        <v>19.440000000000001</v>
      </c>
      <c r="H152" s="907">
        <v>1781</v>
      </c>
      <c r="I152" s="907">
        <v>11</v>
      </c>
      <c r="J152" s="675">
        <v>1494</v>
      </c>
      <c r="K152" s="645"/>
      <c r="L152" s="646">
        <v>606.78</v>
      </c>
      <c r="M152" s="777">
        <v>695</v>
      </c>
      <c r="N152" s="10">
        <v>0.3</v>
      </c>
      <c r="O152" s="11">
        <v>0.1</v>
      </c>
      <c r="P152" s="9">
        <v>0.04</v>
      </c>
      <c r="R152" s="70">
        <f>729*1.1</f>
        <v>801.90000000000009</v>
      </c>
    </row>
    <row r="153" spans="1:18" ht="33.75" customHeight="1" thickBot="1">
      <c r="A153" s="699"/>
      <c r="B153" s="1016"/>
      <c r="C153" s="754" t="s">
        <v>86</v>
      </c>
      <c r="D153" s="691"/>
      <c r="E153" s="978" t="s">
        <v>42</v>
      </c>
      <c r="F153" s="979">
        <v>60</v>
      </c>
      <c r="G153" s="978">
        <v>12.96</v>
      </c>
      <c r="H153" s="978">
        <v>1785</v>
      </c>
      <c r="I153" s="978">
        <v>11</v>
      </c>
      <c r="J153" s="687">
        <v>1833</v>
      </c>
      <c r="K153" s="645"/>
      <c r="L153" s="646">
        <v>782.2</v>
      </c>
      <c r="M153" s="777">
        <v>896</v>
      </c>
      <c r="N153" s="10">
        <v>0.3</v>
      </c>
      <c r="O153" s="11">
        <v>0.1</v>
      </c>
      <c r="P153" s="9">
        <v>0.04</v>
      </c>
      <c r="R153" s="70">
        <f>939*1.1</f>
        <v>1032.9000000000001</v>
      </c>
    </row>
    <row r="154" spans="1:18" ht="34.5" customHeight="1" thickBot="1">
      <c r="A154" s="699"/>
      <c r="B154" s="1015"/>
      <c r="C154" s="690" t="s">
        <v>92</v>
      </c>
      <c r="D154" s="691" t="s">
        <v>78</v>
      </c>
      <c r="E154" s="907" t="s">
        <v>42</v>
      </c>
      <c r="F154" s="976">
        <v>40</v>
      </c>
      <c r="G154" s="907">
        <v>19.440000000000001</v>
      </c>
      <c r="H154" s="907">
        <v>1781</v>
      </c>
      <c r="I154" s="907">
        <v>11</v>
      </c>
      <c r="J154" s="1017">
        <v>1494</v>
      </c>
      <c r="K154" s="645"/>
      <c r="L154" s="646">
        <v>606.78</v>
      </c>
      <c r="M154" s="777">
        <v>695</v>
      </c>
      <c r="N154" s="89">
        <v>0.3</v>
      </c>
      <c r="O154" s="90">
        <v>0.1</v>
      </c>
      <c r="P154" s="88">
        <v>0.04</v>
      </c>
      <c r="Q154" s="75"/>
      <c r="R154" s="140">
        <f>729*1.1</f>
        <v>801.90000000000009</v>
      </c>
    </row>
    <row r="155" spans="1:18" s="75" customFormat="1" ht="34.5" customHeight="1" thickBot="1">
      <c r="A155" s="699"/>
      <c r="B155" s="1016"/>
      <c r="C155" s="754" t="s">
        <v>93</v>
      </c>
      <c r="D155" s="691"/>
      <c r="E155" s="978" t="s">
        <v>42</v>
      </c>
      <c r="F155" s="979">
        <v>60</v>
      </c>
      <c r="G155" s="978">
        <v>12.96</v>
      </c>
      <c r="H155" s="978">
        <v>1785</v>
      </c>
      <c r="I155" s="978">
        <v>11</v>
      </c>
      <c r="J155" s="782">
        <v>1833</v>
      </c>
      <c r="K155" s="645"/>
      <c r="L155" s="646"/>
      <c r="M155" s="1018"/>
      <c r="N155" s="89">
        <v>0.3</v>
      </c>
      <c r="O155" s="90">
        <v>0.1</v>
      </c>
      <c r="P155" s="88">
        <v>0.04</v>
      </c>
      <c r="R155" s="140">
        <f>939*1.1</f>
        <v>1032.9000000000001</v>
      </c>
    </row>
    <row r="156" spans="1:18" ht="15.95" customHeight="1" thickBot="1">
      <c r="A156" s="648" t="s">
        <v>43</v>
      </c>
      <c r="B156" s="649"/>
      <c r="C156" s="649"/>
      <c r="D156" s="649"/>
      <c r="E156" s="649"/>
      <c r="F156" s="649"/>
      <c r="G156" s="649"/>
      <c r="H156" s="649"/>
      <c r="I156" s="649"/>
      <c r="J156" s="649"/>
      <c r="K156" s="645"/>
      <c r="L156" s="646">
        <v>0</v>
      </c>
      <c r="M156" s="1019"/>
      <c r="N156" s="10" t="e">
        <v>#DIV/0!</v>
      </c>
      <c r="O156" s="11" t="e">
        <v>#DIV/0!</v>
      </c>
      <c r="P156" s="9" t="e">
        <v>#DIV/0!</v>
      </c>
      <c r="R156" s="70"/>
    </row>
    <row r="157" spans="1:18" ht="30" customHeight="1" thickBot="1">
      <c r="A157" s="666">
        <v>17</v>
      </c>
      <c r="B157" s="1020"/>
      <c r="C157" s="879" t="s">
        <v>6</v>
      </c>
      <c r="D157" s="691"/>
      <c r="E157" s="1021" t="s">
        <v>39</v>
      </c>
      <c r="F157" s="1022">
        <v>60</v>
      </c>
      <c r="G157" s="672">
        <v>11.88</v>
      </c>
      <c r="H157" s="673">
        <v>1590</v>
      </c>
      <c r="I157" s="931">
        <v>12</v>
      </c>
      <c r="J157" s="675">
        <v>1096</v>
      </c>
      <c r="K157" s="645"/>
      <c r="L157" s="646">
        <v>433.9</v>
      </c>
      <c r="M157" s="1023">
        <v>488</v>
      </c>
      <c r="N157" s="10">
        <v>0.1</v>
      </c>
      <c r="O157" s="11">
        <v>0.03</v>
      </c>
      <c r="P157" s="9">
        <v>0.02</v>
      </c>
      <c r="R157" s="70">
        <f>521*1.1</f>
        <v>573.1</v>
      </c>
    </row>
    <row r="158" spans="1:18" ht="30" customHeight="1" thickBot="1">
      <c r="A158" s="794"/>
      <c r="B158" s="1024"/>
      <c r="C158" s="1025"/>
      <c r="D158" s="732"/>
      <c r="E158" s="1026" t="s">
        <v>37</v>
      </c>
      <c r="F158" s="1027"/>
      <c r="G158" s="779">
        <v>14.4</v>
      </c>
      <c r="H158" s="780">
        <v>1988</v>
      </c>
      <c r="I158" s="781">
        <v>10</v>
      </c>
      <c r="J158" s="675">
        <v>1096</v>
      </c>
      <c r="K158" s="645"/>
      <c r="L158" s="646">
        <v>433.9</v>
      </c>
      <c r="M158" s="909">
        <v>488</v>
      </c>
      <c r="N158" s="10">
        <v>0.1</v>
      </c>
      <c r="O158" s="11">
        <v>0.03</v>
      </c>
      <c r="P158" s="9">
        <v>0.02</v>
      </c>
      <c r="R158" s="70"/>
    </row>
    <row r="159" spans="1:18" ht="30" customHeight="1" thickBot="1">
      <c r="A159" s="699"/>
      <c r="B159" s="760"/>
      <c r="C159" s="883"/>
      <c r="D159" s="990"/>
      <c r="E159" s="1028" t="s">
        <v>59</v>
      </c>
      <c r="F159" s="1027"/>
      <c r="G159" s="887">
        <v>11.52</v>
      </c>
      <c r="H159" s="888">
        <v>1641</v>
      </c>
      <c r="I159" s="1029">
        <v>12</v>
      </c>
      <c r="J159" s="675">
        <v>1096</v>
      </c>
      <c r="K159" s="645"/>
      <c r="L159" s="646">
        <v>433.9</v>
      </c>
      <c r="M159" s="913">
        <v>488</v>
      </c>
      <c r="N159" s="10">
        <v>0.1</v>
      </c>
      <c r="O159" s="11">
        <v>0.03</v>
      </c>
      <c r="P159" s="9">
        <v>0.02</v>
      </c>
      <c r="R159" s="70"/>
    </row>
    <row r="160" spans="1:18" ht="28.5" customHeight="1" thickBot="1">
      <c r="A160" s="794"/>
      <c r="B160" s="1030"/>
      <c r="C160" s="1031" t="s">
        <v>38</v>
      </c>
      <c r="D160" s="669"/>
      <c r="E160" s="1021" t="s">
        <v>39</v>
      </c>
      <c r="F160" s="1027"/>
      <c r="G160" s="672">
        <v>11.88</v>
      </c>
      <c r="H160" s="673">
        <v>1590</v>
      </c>
      <c r="I160" s="931">
        <v>12</v>
      </c>
      <c r="J160" s="675">
        <v>1253</v>
      </c>
      <c r="K160" s="645"/>
      <c r="L160" s="646">
        <v>501.69</v>
      </c>
      <c r="M160" s="915">
        <v>564</v>
      </c>
      <c r="N160" s="10">
        <v>0.15</v>
      </c>
      <c r="O160" s="11">
        <v>0.05</v>
      </c>
      <c r="P160" s="9">
        <v>0.03</v>
      </c>
      <c r="R160" s="70">
        <f>602*1.1</f>
        <v>662.2</v>
      </c>
    </row>
    <row r="161" spans="1:18" ht="28.5" customHeight="1" thickBot="1">
      <c r="A161" s="794"/>
      <c r="B161" s="1032"/>
      <c r="C161" s="1033"/>
      <c r="D161" s="681"/>
      <c r="E161" s="1034" t="s">
        <v>37</v>
      </c>
      <c r="F161" s="1027"/>
      <c r="G161" s="684">
        <v>14.4</v>
      </c>
      <c r="H161" s="685">
        <v>1988</v>
      </c>
      <c r="I161" s="787">
        <v>10</v>
      </c>
      <c r="J161" s="675">
        <v>1253</v>
      </c>
      <c r="K161" s="645"/>
      <c r="L161" s="646">
        <v>501.69</v>
      </c>
      <c r="M161" s="915">
        <v>564</v>
      </c>
      <c r="N161" s="10">
        <v>0.15</v>
      </c>
      <c r="O161" s="11">
        <v>0.05</v>
      </c>
      <c r="P161" s="9">
        <v>0.03</v>
      </c>
      <c r="R161" s="70"/>
    </row>
    <row r="162" spans="1:18" ht="28.5" customHeight="1" thickBot="1">
      <c r="A162" s="794"/>
      <c r="B162" s="1035"/>
      <c r="C162" s="879" t="s">
        <v>44</v>
      </c>
      <c r="D162" s="691"/>
      <c r="E162" s="1021" t="s">
        <v>39</v>
      </c>
      <c r="F162" s="1027"/>
      <c r="G162" s="672">
        <v>11.88</v>
      </c>
      <c r="H162" s="673">
        <v>1590</v>
      </c>
      <c r="I162" s="931">
        <v>12</v>
      </c>
      <c r="J162" s="675">
        <v>1253</v>
      </c>
      <c r="K162" s="645"/>
      <c r="L162" s="646">
        <v>501.69</v>
      </c>
      <c r="M162" s="915">
        <v>564</v>
      </c>
      <c r="N162" s="10">
        <v>0.15</v>
      </c>
      <c r="O162" s="11">
        <v>0.05</v>
      </c>
      <c r="P162" s="9">
        <v>0.03</v>
      </c>
      <c r="R162" s="70"/>
    </row>
    <row r="163" spans="1:18" ht="28.5" customHeight="1" thickBot="1">
      <c r="A163" s="794"/>
      <c r="B163" s="1036"/>
      <c r="C163" s="883"/>
      <c r="D163" s="681"/>
      <c r="E163" s="1034" t="s">
        <v>37</v>
      </c>
      <c r="F163" s="1027"/>
      <c r="G163" s="684">
        <v>14.4</v>
      </c>
      <c r="H163" s="685">
        <v>1988</v>
      </c>
      <c r="I163" s="787">
        <v>10</v>
      </c>
      <c r="J163" s="675">
        <v>1253</v>
      </c>
      <c r="K163" s="645"/>
      <c r="L163" s="646">
        <v>501.69</v>
      </c>
      <c r="M163" s="915">
        <v>564</v>
      </c>
      <c r="N163" s="10">
        <v>0.15</v>
      </c>
      <c r="O163" s="11">
        <v>0.05</v>
      </c>
      <c r="P163" s="9">
        <v>0.03</v>
      </c>
      <c r="R163" s="70"/>
    </row>
    <row r="164" spans="1:18" ht="27.95" customHeight="1" thickBot="1">
      <c r="A164" s="699"/>
      <c r="B164" s="1037"/>
      <c r="C164" s="879" t="s">
        <v>14</v>
      </c>
      <c r="D164" s="691"/>
      <c r="E164" s="1021" t="s">
        <v>39</v>
      </c>
      <c r="F164" s="1027"/>
      <c r="G164" s="672">
        <v>11.88</v>
      </c>
      <c r="H164" s="673">
        <v>1590</v>
      </c>
      <c r="I164" s="931">
        <v>12</v>
      </c>
      <c r="J164" s="675">
        <v>1253</v>
      </c>
      <c r="K164" s="645"/>
      <c r="L164" s="646">
        <v>501.69</v>
      </c>
      <c r="M164" s="913">
        <v>564</v>
      </c>
      <c r="N164" s="10">
        <v>0.15</v>
      </c>
      <c r="O164" s="11">
        <v>0.05</v>
      </c>
      <c r="P164" s="9">
        <v>0.03</v>
      </c>
      <c r="R164" s="70"/>
    </row>
    <row r="165" spans="1:18" ht="27.95" customHeight="1" thickBot="1">
      <c r="A165" s="794"/>
      <c r="B165" s="1038"/>
      <c r="C165" s="883"/>
      <c r="D165" s="727"/>
      <c r="E165" s="1034" t="s">
        <v>37</v>
      </c>
      <c r="F165" s="1027"/>
      <c r="G165" s="684">
        <v>14.4</v>
      </c>
      <c r="H165" s="685">
        <v>1988</v>
      </c>
      <c r="I165" s="787">
        <v>10</v>
      </c>
      <c r="J165" s="675">
        <v>1253</v>
      </c>
      <c r="K165" s="645"/>
      <c r="L165" s="646">
        <v>501.69</v>
      </c>
      <c r="M165" s="913">
        <v>564</v>
      </c>
      <c r="N165" s="10">
        <v>0.15</v>
      </c>
      <c r="O165" s="11">
        <v>0.05</v>
      </c>
      <c r="P165" s="9">
        <v>0.03</v>
      </c>
      <c r="R165" s="70"/>
    </row>
    <row r="166" spans="1:18" ht="43.5" customHeight="1" thickBot="1">
      <c r="A166" s="699"/>
      <c r="B166" s="1039"/>
      <c r="C166" s="1040" t="s">
        <v>142</v>
      </c>
      <c r="D166" s="875"/>
      <c r="E166" s="1041" t="s">
        <v>37</v>
      </c>
      <c r="F166" s="1027"/>
      <c r="G166" s="658">
        <v>14.4</v>
      </c>
      <c r="H166" s="659">
        <v>1988</v>
      </c>
      <c r="I166" s="877">
        <v>10</v>
      </c>
      <c r="J166" s="661">
        <v>2185</v>
      </c>
      <c r="K166" s="645"/>
      <c r="L166" s="646">
        <v>890.68</v>
      </c>
      <c r="M166" s="913">
        <v>1001</v>
      </c>
      <c r="N166" s="10">
        <v>0.25</v>
      </c>
      <c r="O166" s="11">
        <v>0.1</v>
      </c>
      <c r="P166" s="9">
        <v>3.9960039960039939E-2</v>
      </c>
      <c r="R166" s="70">
        <f>1069*1.1</f>
        <v>1175.9000000000001</v>
      </c>
    </row>
    <row r="167" spans="1:18" ht="44.25" customHeight="1" thickBot="1">
      <c r="A167" s="699"/>
      <c r="B167" s="1042"/>
      <c r="C167" s="791" t="s">
        <v>143</v>
      </c>
      <c r="D167" s="875"/>
      <c r="E167" s="1041" t="s">
        <v>37</v>
      </c>
      <c r="F167" s="1027"/>
      <c r="G167" s="658">
        <v>14.4</v>
      </c>
      <c r="H167" s="659">
        <v>1988</v>
      </c>
      <c r="I167" s="877">
        <v>10</v>
      </c>
      <c r="J167" s="661">
        <v>2185</v>
      </c>
      <c r="K167" s="645"/>
      <c r="L167" s="646">
        <v>890.68</v>
      </c>
      <c r="M167" s="913">
        <v>1001</v>
      </c>
      <c r="N167" s="10">
        <v>0.25</v>
      </c>
      <c r="O167" s="11">
        <v>0.1</v>
      </c>
      <c r="P167" s="9">
        <v>3.9960039960039939E-2</v>
      </c>
      <c r="R167" s="70"/>
    </row>
    <row r="168" spans="1:18" ht="49.5" customHeight="1" thickBot="1">
      <c r="A168" s="733"/>
      <c r="B168" s="1043"/>
      <c r="C168" s="968" t="s">
        <v>104</v>
      </c>
      <c r="D168" s="875"/>
      <c r="E168" s="1041" t="s">
        <v>37</v>
      </c>
      <c r="F168" s="1044"/>
      <c r="G168" s="658">
        <v>14.4</v>
      </c>
      <c r="H168" s="659">
        <v>1988</v>
      </c>
      <c r="I168" s="877">
        <v>10</v>
      </c>
      <c r="J168" s="661">
        <v>2185</v>
      </c>
      <c r="K168" s="645"/>
      <c r="L168" s="646">
        <v>890.68</v>
      </c>
      <c r="M168" s="1045">
        <v>1001</v>
      </c>
      <c r="N168" s="10">
        <v>0.25</v>
      </c>
      <c r="O168" s="11">
        <v>0.1</v>
      </c>
      <c r="P168" s="9">
        <v>3.9960039960039939E-2</v>
      </c>
      <c r="R168" s="70"/>
    </row>
    <row r="169" spans="1:18" ht="15.75" customHeight="1" thickBot="1">
      <c r="A169" s="1046" t="s">
        <v>35</v>
      </c>
      <c r="B169" s="832"/>
      <c r="C169" s="832"/>
      <c r="D169" s="832"/>
      <c r="E169" s="832"/>
      <c r="F169" s="832"/>
      <c r="G169" s="832"/>
      <c r="H169" s="832"/>
      <c r="I169" s="832"/>
      <c r="J169" s="832"/>
      <c r="K169" s="645"/>
      <c r="L169" s="646">
        <v>0</v>
      </c>
      <c r="M169" s="1047"/>
      <c r="N169" s="10" t="e">
        <v>#DIV/0!</v>
      </c>
      <c r="O169" s="11" t="e">
        <v>#DIV/0!</v>
      </c>
      <c r="P169" s="9" t="e">
        <v>#DIV/0!</v>
      </c>
      <c r="R169" s="70"/>
    </row>
    <row r="170" spans="1:18" ht="57" customHeight="1" thickBot="1">
      <c r="A170" s="652">
        <v>18</v>
      </c>
      <c r="B170" s="1048"/>
      <c r="C170" s="1049" t="s">
        <v>6</v>
      </c>
      <c r="D170" s="655" t="s">
        <v>78</v>
      </c>
      <c r="E170" s="1050" t="s">
        <v>18</v>
      </c>
      <c r="F170" s="657">
        <v>100</v>
      </c>
      <c r="G170" s="658">
        <v>10.8</v>
      </c>
      <c r="H170" s="659">
        <v>1552</v>
      </c>
      <c r="I170" s="1051">
        <v>12</v>
      </c>
      <c r="J170" s="661">
        <v>1383</v>
      </c>
      <c r="K170" s="645"/>
      <c r="L170" s="646">
        <v>501.69</v>
      </c>
      <c r="M170" s="677">
        <v>564</v>
      </c>
      <c r="N170" s="10">
        <v>0.2</v>
      </c>
      <c r="O170" s="11">
        <v>0.03</v>
      </c>
      <c r="P170" s="9">
        <v>0.02</v>
      </c>
      <c r="R170" s="70">
        <f>602*1.1</f>
        <v>662.2</v>
      </c>
    </row>
    <row r="171" spans="1:18" s="75" customFormat="1" ht="20.25" customHeight="1" thickBot="1">
      <c r="A171" s="1052"/>
      <c r="B171" s="1053"/>
      <c r="C171" s="1054"/>
      <c r="D171" s="1052"/>
      <c r="E171" s="1054"/>
      <c r="F171" s="1055"/>
      <c r="G171" s="1053"/>
      <c r="H171" s="1053"/>
      <c r="I171" s="1053"/>
      <c r="J171" s="1056"/>
      <c r="K171" s="1057"/>
      <c r="L171" s="1058"/>
      <c r="M171" s="1059"/>
      <c r="N171" s="89"/>
      <c r="O171" s="90"/>
      <c r="P171" s="88"/>
      <c r="R171" s="140"/>
    </row>
    <row r="172" spans="1:18" ht="21.75" thickBot="1">
      <c r="A172" s="643" t="s">
        <v>1</v>
      </c>
      <c r="B172" s="644"/>
      <c r="C172" s="644"/>
      <c r="D172" s="644"/>
      <c r="E172" s="644"/>
      <c r="F172" s="644"/>
      <c r="G172" s="644"/>
      <c r="H172" s="644"/>
      <c r="I172" s="644"/>
      <c r="J172" s="644"/>
      <c r="K172" s="645"/>
      <c r="L172" s="646">
        <v>0</v>
      </c>
      <c r="M172" s="647"/>
      <c r="N172" s="10" t="e">
        <v>#DIV/0!</v>
      </c>
      <c r="O172" s="11" t="e">
        <v>#DIV/0!</v>
      </c>
      <c r="P172" s="9" t="e">
        <v>#DIV/0!</v>
      </c>
      <c r="R172" s="70"/>
    </row>
    <row r="173" spans="1:18" s="75" customFormat="1" ht="62.25" customHeight="1" thickBot="1">
      <c r="A173" s="637" t="s">
        <v>0</v>
      </c>
      <c r="B173" s="638" t="s">
        <v>5</v>
      </c>
      <c r="C173" s="639"/>
      <c r="D173" s="640"/>
      <c r="E173" s="641" t="s">
        <v>7</v>
      </c>
      <c r="F173" s="641" t="s">
        <v>16</v>
      </c>
      <c r="G173" s="641" t="s">
        <v>134</v>
      </c>
      <c r="H173" s="642" t="s">
        <v>8</v>
      </c>
      <c r="I173" s="641" t="s">
        <v>25</v>
      </c>
      <c r="J173" s="641" t="s">
        <v>176</v>
      </c>
      <c r="K173" s="636">
        <v>1.05</v>
      </c>
      <c r="L173" s="641" t="s">
        <v>119</v>
      </c>
      <c r="M173" s="641" t="s">
        <v>167</v>
      </c>
      <c r="N173" s="6" t="s">
        <v>114</v>
      </c>
      <c r="O173" s="6" t="s">
        <v>115</v>
      </c>
      <c r="P173" s="6" t="s">
        <v>116</v>
      </c>
      <c r="R173" s="68"/>
    </row>
    <row r="174" spans="1:18" ht="15.75" customHeight="1" thickBot="1">
      <c r="A174" s="648" t="s">
        <v>30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5"/>
      <c r="L174" s="646">
        <v>0</v>
      </c>
      <c r="M174" s="1060"/>
      <c r="N174" s="10" t="e">
        <v>#DIV/0!</v>
      </c>
      <c r="O174" s="11" t="e">
        <v>#DIV/0!</v>
      </c>
      <c r="P174" s="9" t="e">
        <v>#DIV/0!</v>
      </c>
      <c r="R174" s="70"/>
    </row>
    <row r="175" spans="1:18" ht="48" customHeight="1" thickBot="1">
      <c r="A175" s="652">
        <v>1</v>
      </c>
      <c r="B175" s="1061"/>
      <c r="C175" s="791" t="s">
        <v>6</v>
      </c>
      <c r="D175" s="655" t="s">
        <v>78</v>
      </c>
      <c r="E175" s="657" t="s">
        <v>45</v>
      </c>
      <c r="F175" s="658">
        <v>300</v>
      </c>
      <c r="G175" s="659">
        <v>18</v>
      </c>
      <c r="H175" s="659">
        <v>1818</v>
      </c>
      <c r="I175" s="877">
        <v>11</v>
      </c>
      <c r="J175" s="661">
        <v>649</v>
      </c>
      <c r="K175" s="645"/>
      <c r="L175" s="646">
        <v>255.93</v>
      </c>
      <c r="M175" s="881">
        <v>288</v>
      </c>
      <c r="N175" s="10">
        <v>0.1</v>
      </c>
      <c r="O175" s="11">
        <v>0.03</v>
      </c>
      <c r="P175" s="9">
        <v>0.02</v>
      </c>
      <c r="R175" s="70">
        <f>308*1.1</f>
        <v>338.8</v>
      </c>
    </row>
    <row r="176" spans="1:18" ht="14.25" customHeight="1" thickBot="1">
      <c r="A176" s="648" t="s">
        <v>29</v>
      </c>
      <c r="B176" s="649"/>
      <c r="C176" s="649"/>
      <c r="D176" s="649"/>
      <c r="E176" s="649"/>
      <c r="F176" s="649"/>
      <c r="G176" s="649"/>
      <c r="H176" s="649"/>
      <c r="I176" s="649"/>
      <c r="J176" s="649"/>
      <c r="K176" s="645"/>
      <c r="L176" s="646">
        <v>0</v>
      </c>
      <c r="M176" s="1062"/>
      <c r="N176" s="10" t="e">
        <v>#DIV/0!</v>
      </c>
      <c r="O176" s="11" t="e">
        <v>#DIV/0!</v>
      </c>
      <c r="P176" s="9" t="e">
        <v>#DIV/0!</v>
      </c>
      <c r="R176" s="70"/>
    </row>
    <row r="177" spans="1:18" ht="57.75" customHeight="1" thickBot="1">
      <c r="A177" s="666">
        <v>2</v>
      </c>
      <c r="B177" s="1063"/>
      <c r="C177" s="791" t="s">
        <v>6</v>
      </c>
      <c r="D177" s="655" t="s">
        <v>78</v>
      </c>
      <c r="E177" s="693" t="s">
        <v>46</v>
      </c>
      <c r="F177" s="693">
        <v>200</v>
      </c>
      <c r="G177" s="1064">
        <v>48</v>
      </c>
      <c r="H177" s="1065">
        <v>1759</v>
      </c>
      <c r="I177" s="1066">
        <v>11</v>
      </c>
      <c r="J177" s="661">
        <v>333</v>
      </c>
      <c r="K177" s="645"/>
      <c r="L177" s="646">
        <v>111.02</v>
      </c>
      <c r="M177" s="691">
        <v>125</v>
      </c>
      <c r="N177" s="10">
        <v>0.3</v>
      </c>
      <c r="O177" s="11">
        <v>0.03</v>
      </c>
      <c r="P177" s="60">
        <v>0.02</v>
      </c>
      <c r="R177" s="70">
        <f>134*1.1</f>
        <v>147.4</v>
      </c>
    </row>
    <row r="178" spans="1:18" s="75" customFormat="1" ht="57.75" customHeight="1" thickBot="1">
      <c r="A178" s="1067"/>
      <c r="B178" s="1068"/>
      <c r="C178" s="796" t="s">
        <v>14</v>
      </c>
      <c r="D178" s="797" t="s">
        <v>78</v>
      </c>
      <c r="E178" s="1069"/>
      <c r="F178" s="1069"/>
      <c r="G178" s="1070"/>
      <c r="H178" s="1071"/>
      <c r="I178" s="1072"/>
      <c r="J178" s="675">
        <v>374</v>
      </c>
      <c r="K178" s="645"/>
      <c r="L178" s="646">
        <v>134.75</v>
      </c>
      <c r="M178" s="702">
        <v>151</v>
      </c>
      <c r="N178" s="89">
        <v>0.25</v>
      </c>
      <c r="O178" s="90">
        <v>0.1</v>
      </c>
      <c r="P178" s="88">
        <v>0.03</v>
      </c>
      <c r="R178" s="140">
        <f>162*1.1</f>
        <v>178.20000000000002</v>
      </c>
    </row>
    <row r="179" spans="1:18" ht="57.75" customHeight="1" thickBot="1">
      <c r="A179" s="794"/>
      <c r="B179" s="1073"/>
      <c r="C179" s="754" t="s">
        <v>13</v>
      </c>
      <c r="D179" s="702"/>
      <c r="E179" s="704"/>
      <c r="F179" s="704"/>
      <c r="G179" s="1074"/>
      <c r="H179" s="1075"/>
      <c r="I179" s="1076"/>
      <c r="J179" s="675">
        <v>374</v>
      </c>
      <c r="K179" s="645"/>
      <c r="L179" s="646">
        <v>134.75</v>
      </c>
      <c r="M179" s="702">
        <v>151</v>
      </c>
      <c r="N179" s="10">
        <v>0.25</v>
      </c>
      <c r="O179" s="11">
        <v>0.1</v>
      </c>
      <c r="P179" s="9">
        <v>0.03</v>
      </c>
      <c r="R179" s="70">
        <f>162*1.1</f>
        <v>178.20000000000002</v>
      </c>
    </row>
    <row r="180" spans="1:18" ht="57.75" customHeight="1" thickBot="1">
      <c r="A180" s="794"/>
      <c r="B180" s="1073"/>
      <c r="C180" s="754" t="s">
        <v>12</v>
      </c>
      <c r="D180" s="732" t="s">
        <v>78</v>
      </c>
      <c r="E180" s="704"/>
      <c r="F180" s="704"/>
      <c r="G180" s="1074"/>
      <c r="H180" s="1075"/>
      <c r="I180" s="1076"/>
      <c r="J180" s="675">
        <v>374</v>
      </c>
      <c r="K180" s="645"/>
      <c r="L180" s="646">
        <v>134.75</v>
      </c>
      <c r="M180" s="702">
        <v>151</v>
      </c>
      <c r="N180" s="10">
        <v>0.25</v>
      </c>
      <c r="O180" s="11">
        <v>0.1</v>
      </c>
      <c r="P180" s="9">
        <v>0.03</v>
      </c>
      <c r="R180" s="70"/>
    </row>
    <row r="181" spans="1:18" ht="57.75" customHeight="1" thickBot="1">
      <c r="A181" s="794"/>
      <c r="B181" s="1073"/>
      <c r="C181" s="754" t="s">
        <v>38</v>
      </c>
      <c r="D181" s="732" t="s">
        <v>78</v>
      </c>
      <c r="E181" s="704"/>
      <c r="F181" s="704"/>
      <c r="G181" s="1074"/>
      <c r="H181" s="1075"/>
      <c r="I181" s="1076"/>
      <c r="J181" s="675">
        <v>374</v>
      </c>
      <c r="K181" s="645"/>
      <c r="L181" s="646">
        <v>134.75</v>
      </c>
      <c r="M181" s="702">
        <v>151</v>
      </c>
      <c r="N181" s="10">
        <v>0.25</v>
      </c>
      <c r="O181" s="11">
        <v>0.1</v>
      </c>
      <c r="P181" s="9">
        <v>0.03</v>
      </c>
      <c r="R181" s="70"/>
    </row>
    <row r="182" spans="1:18" ht="57.75" customHeight="1">
      <c r="A182" s="794"/>
      <c r="B182" s="1073"/>
      <c r="C182" s="754" t="s">
        <v>44</v>
      </c>
      <c r="D182" s="732" t="s">
        <v>78</v>
      </c>
      <c r="E182" s="704"/>
      <c r="F182" s="704"/>
      <c r="G182" s="1074"/>
      <c r="H182" s="1075"/>
      <c r="I182" s="1076"/>
      <c r="J182" s="675">
        <v>374</v>
      </c>
      <c r="K182" s="645"/>
      <c r="L182" s="646">
        <v>134.75</v>
      </c>
      <c r="M182" s="702">
        <v>151</v>
      </c>
      <c r="N182" s="10">
        <v>0.25</v>
      </c>
      <c r="O182" s="11">
        <v>0.1</v>
      </c>
      <c r="P182" s="9">
        <v>0.03</v>
      </c>
      <c r="R182" s="70"/>
    </row>
    <row r="183" spans="1:18" ht="57.75" customHeight="1">
      <c r="A183" s="794"/>
      <c r="B183" s="1073"/>
      <c r="C183" s="796" t="s">
        <v>86</v>
      </c>
      <c r="D183" s="732" t="s">
        <v>78</v>
      </c>
      <c r="E183" s="704"/>
      <c r="F183" s="704"/>
      <c r="G183" s="1074"/>
      <c r="H183" s="1075"/>
      <c r="I183" s="1076"/>
      <c r="J183" s="782">
        <v>392</v>
      </c>
      <c r="K183" s="645"/>
      <c r="L183" s="646">
        <v>134.75</v>
      </c>
      <c r="M183" s="702">
        <v>151</v>
      </c>
      <c r="N183" s="10">
        <v>0.25</v>
      </c>
      <c r="O183" s="11">
        <v>0.1</v>
      </c>
      <c r="P183" s="9">
        <v>0.03</v>
      </c>
      <c r="R183" s="70"/>
    </row>
    <row r="184" spans="1:18" ht="57.75" customHeight="1">
      <c r="A184" s="794"/>
      <c r="B184" s="1073"/>
      <c r="C184" s="754" t="s">
        <v>107</v>
      </c>
      <c r="D184" s="732"/>
      <c r="E184" s="704"/>
      <c r="F184" s="704"/>
      <c r="G184" s="1074"/>
      <c r="H184" s="1075"/>
      <c r="I184" s="1076"/>
      <c r="J184" s="782">
        <v>392</v>
      </c>
      <c r="K184" s="645"/>
      <c r="L184" s="646">
        <v>134.75</v>
      </c>
      <c r="M184" s="702">
        <v>151</v>
      </c>
      <c r="N184" s="10">
        <v>0.25</v>
      </c>
      <c r="O184" s="11">
        <v>0.1</v>
      </c>
      <c r="P184" s="9">
        <v>0.03</v>
      </c>
      <c r="R184" s="70"/>
    </row>
    <row r="185" spans="1:18" ht="57.75" customHeight="1">
      <c r="A185" s="794"/>
      <c r="B185" s="1073"/>
      <c r="C185" s="754" t="s">
        <v>87</v>
      </c>
      <c r="D185" s="732"/>
      <c r="E185" s="704"/>
      <c r="F185" s="704"/>
      <c r="G185" s="1074"/>
      <c r="H185" s="1075"/>
      <c r="I185" s="1076"/>
      <c r="J185" s="782">
        <v>392</v>
      </c>
      <c r="K185" s="645"/>
      <c r="L185" s="646">
        <v>134.75</v>
      </c>
      <c r="M185" s="702">
        <v>151</v>
      </c>
      <c r="N185" s="10">
        <v>0.25</v>
      </c>
      <c r="O185" s="11">
        <v>0.1</v>
      </c>
      <c r="P185" s="9">
        <v>0.03</v>
      </c>
      <c r="R185" s="70"/>
    </row>
    <row r="186" spans="1:18" ht="57.75" customHeight="1" thickBot="1">
      <c r="A186" s="678"/>
      <c r="B186" s="1077"/>
      <c r="C186" s="761" t="s">
        <v>92</v>
      </c>
      <c r="D186" s="681" t="s">
        <v>78</v>
      </c>
      <c r="E186" s="737"/>
      <c r="F186" s="737"/>
      <c r="G186" s="1078"/>
      <c r="H186" s="1079"/>
      <c r="I186" s="1080"/>
      <c r="J186" s="782">
        <v>392</v>
      </c>
      <c r="K186" s="645"/>
      <c r="L186" s="646">
        <v>134.75</v>
      </c>
      <c r="M186" s="727">
        <v>151</v>
      </c>
      <c r="N186" s="10">
        <v>0.25</v>
      </c>
      <c r="O186" s="11">
        <v>0.1</v>
      </c>
      <c r="P186" s="9">
        <v>0.03</v>
      </c>
      <c r="R186" s="70"/>
    </row>
    <row r="187" spans="1:18" s="75" customFormat="1" ht="18.75" customHeight="1" thickBot="1">
      <c r="A187" s="648" t="s">
        <v>117</v>
      </c>
      <c r="B187" s="1081"/>
      <c r="C187" s="1081"/>
      <c r="D187" s="1081"/>
      <c r="E187" s="1081"/>
      <c r="F187" s="1081"/>
      <c r="G187" s="1081"/>
      <c r="H187" s="1081"/>
      <c r="I187" s="1081"/>
      <c r="J187" s="1081"/>
      <c r="K187" s="645"/>
      <c r="L187" s="646"/>
      <c r="M187" s="1082"/>
      <c r="N187" s="89"/>
      <c r="O187" s="90"/>
      <c r="P187" s="88"/>
      <c r="R187" s="140"/>
    </row>
    <row r="188" spans="1:18" ht="57.75" customHeight="1" thickBot="1">
      <c r="A188" s="688">
        <v>3</v>
      </c>
      <c r="B188" s="1063"/>
      <c r="C188" s="791" t="s">
        <v>6</v>
      </c>
      <c r="D188" s="655"/>
      <c r="E188" s="1083" t="s">
        <v>118</v>
      </c>
      <c r="F188" s="748">
        <v>200</v>
      </c>
      <c r="G188" s="1084">
        <v>104</v>
      </c>
      <c r="H188" s="750">
        <v>1821</v>
      </c>
      <c r="I188" s="751">
        <v>11</v>
      </c>
      <c r="J188" s="661">
        <v>190</v>
      </c>
      <c r="K188" s="1085">
        <v>75.83</v>
      </c>
      <c r="L188" s="646"/>
      <c r="M188" s="1082"/>
      <c r="N188" s="10"/>
      <c r="O188" s="11"/>
      <c r="P188" s="9"/>
      <c r="R188" s="70"/>
    </row>
    <row r="189" spans="1:18" s="75" customFormat="1" ht="57.75" customHeight="1" thickBot="1">
      <c r="A189" s="699"/>
      <c r="B189" s="1068"/>
      <c r="C189" s="796" t="s">
        <v>12</v>
      </c>
      <c r="D189" s="797"/>
      <c r="E189" s="1086"/>
      <c r="F189" s="756"/>
      <c r="G189" s="1087"/>
      <c r="H189" s="758"/>
      <c r="I189" s="759"/>
      <c r="J189" s="675">
        <v>219</v>
      </c>
      <c r="K189" s="1085">
        <v>90.83</v>
      </c>
      <c r="L189" s="646"/>
      <c r="M189" s="1082"/>
      <c r="N189" s="89"/>
      <c r="O189" s="90"/>
      <c r="P189" s="88"/>
      <c r="R189" s="140"/>
    </row>
    <row r="190" spans="1:18" s="75" customFormat="1" ht="57.75" customHeight="1" thickBot="1">
      <c r="A190" s="699"/>
      <c r="B190" s="1068"/>
      <c r="C190" s="796" t="s">
        <v>44</v>
      </c>
      <c r="D190" s="797"/>
      <c r="E190" s="1086"/>
      <c r="F190" s="756"/>
      <c r="G190" s="1087"/>
      <c r="H190" s="758"/>
      <c r="I190" s="759"/>
      <c r="J190" s="675">
        <v>219</v>
      </c>
      <c r="K190" s="1085">
        <v>90.83</v>
      </c>
      <c r="L190" s="646"/>
      <c r="M190" s="1082"/>
      <c r="N190" s="89"/>
      <c r="O190" s="90"/>
      <c r="P190" s="88"/>
      <c r="R190" s="140"/>
    </row>
    <row r="191" spans="1:18" ht="57.75" customHeight="1" thickBot="1">
      <c r="A191" s="699"/>
      <c r="B191" s="1073"/>
      <c r="C191" s="754" t="s">
        <v>38</v>
      </c>
      <c r="D191" s="732"/>
      <c r="E191" s="1086"/>
      <c r="F191" s="756"/>
      <c r="G191" s="1087"/>
      <c r="H191" s="758"/>
      <c r="I191" s="759"/>
      <c r="J191" s="675">
        <v>219</v>
      </c>
      <c r="K191" s="1085">
        <v>90.83</v>
      </c>
      <c r="L191" s="646"/>
      <c r="M191" s="1082"/>
      <c r="N191" s="10"/>
      <c r="O191" s="11"/>
      <c r="P191" s="9"/>
      <c r="R191" s="70"/>
    </row>
    <row r="192" spans="1:18" s="75" customFormat="1" ht="57.75" customHeight="1" thickBot="1">
      <c r="A192" s="699"/>
      <c r="B192" s="1088"/>
      <c r="C192" s="1089" t="s">
        <v>93</v>
      </c>
      <c r="D192" s="1090"/>
      <c r="E192" s="1086"/>
      <c r="F192" s="756"/>
      <c r="G192" s="1087"/>
      <c r="H192" s="758"/>
      <c r="I192" s="759"/>
      <c r="J192" s="782">
        <v>231</v>
      </c>
      <c r="K192" s="1085">
        <v>90.83</v>
      </c>
      <c r="L192" s="646"/>
      <c r="M192" s="1082"/>
      <c r="N192" s="89"/>
      <c r="O192" s="90"/>
      <c r="P192" s="88"/>
      <c r="R192" s="140"/>
    </row>
    <row r="193" spans="1:18" ht="57.75" customHeight="1" thickBot="1">
      <c r="A193" s="733"/>
      <c r="B193" s="1077"/>
      <c r="C193" s="761" t="s">
        <v>86</v>
      </c>
      <c r="D193" s="681"/>
      <c r="E193" s="1091"/>
      <c r="F193" s="763"/>
      <c r="G193" s="1092"/>
      <c r="H193" s="765"/>
      <c r="I193" s="766"/>
      <c r="J193" s="687">
        <v>231</v>
      </c>
      <c r="K193" s="1085">
        <v>90.83</v>
      </c>
      <c r="L193" s="646"/>
      <c r="M193" s="1082"/>
      <c r="N193" s="10"/>
      <c r="O193" s="11"/>
      <c r="P193" s="9"/>
      <c r="R193" s="70"/>
    </row>
    <row r="194" spans="1:18" ht="14.25" customHeight="1" thickBot="1">
      <c r="A194" s="1046" t="s">
        <v>149</v>
      </c>
      <c r="B194" s="832"/>
      <c r="C194" s="832"/>
      <c r="D194" s="832"/>
      <c r="E194" s="832"/>
      <c r="F194" s="832"/>
      <c r="G194" s="832"/>
      <c r="H194" s="832"/>
      <c r="I194" s="832"/>
      <c r="J194" s="832"/>
      <c r="K194" s="645"/>
      <c r="L194" s="646">
        <v>0</v>
      </c>
      <c r="M194" s="1062"/>
      <c r="N194" s="10" t="e">
        <v>#DIV/0!</v>
      </c>
      <c r="O194" s="11" t="e">
        <v>#DIV/0!</v>
      </c>
      <c r="P194" s="9" t="e">
        <v>#DIV/0!</v>
      </c>
      <c r="R194" s="70"/>
    </row>
    <row r="195" spans="1:18" ht="60" customHeight="1" thickBot="1">
      <c r="A195" s="688">
        <v>4</v>
      </c>
      <c r="B195" s="1093"/>
      <c r="C195" s="1049" t="s">
        <v>6</v>
      </c>
      <c r="D195" s="875"/>
      <c r="E195" s="1050" t="s">
        <v>64</v>
      </c>
      <c r="F195" s="748">
        <v>60</v>
      </c>
      <c r="G195" s="658">
        <v>60</v>
      </c>
      <c r="H195" s="659">
        <v>1498</v>
      </c>
      <c r="I195" s="877">
        <v>13</v>
      </c>
      <c r="J195" s="661">
        <v>588</v>
      </c>
      <c r="K195" s="645"/>
      <c r="L195" s="646">
        <v>211.86</v>
      </c>
      <c r="M195" s="1094">
        <v>238</v>
      </c>
      <c r="N195" s="10">
        <v>0.2</v>
      </c>
      <c r="O195" s="11">
        <v>0.05</v>
      </c>
      <c r="P195" s="9">
        <v>0.02</v>
      </c>
      <c r="R195" s="70">
        <f>255*1.1</f>
        <v>280.5</v>
      </c>
    </row>
    <row r="196" spans="1:18" ht="60" customHeight="1" thickBot="1">
      <c r="A196" s="699"/>
      <c r="B196" s="1095"/>
      <c r="C196" s="1096" t="s">
        <v>44</v>
      </c>
      <c r="D196" s="691"/>
      <c r="E196" s="1097" t="s">
        <v>64</v>
      </c>
      <c r="F196" s="756"/>
      <c r="G196" s="672">
        <v>60</v>
      </c>
      <c r="H196" s="673">
        <v>1498</v>
      </c>
      <c r="I196" s="931">
        <v>13</v>
      </c>
      <c r="J196" s="675">
        <v>745</v>
      </c>
      <c r="K196" s="645"/>
      <c r="L196" s="646">
        <v>284.75</v>
      </c>
      <c r="M196" s="1094">
        <v>320</v>
      </c>
      <c r="N196" s="10">
        <v>0.2</v>
      </c>
      <c r="O196" s="11">
        <v>0.05</v>
      </c>
      <c r="P196" s="9">
        <v>3.0000000000000027E-2</v>
      </c>
      <c r="R196" s="70">
        <f>342*1.1</f>
        <v>376.20000000000005</v>
      </c>
    </row>
    <row r="197" spans="1:18" ht="60" customHeight="1" thickBot="1">
      <c r="A197" s="699"/>
      <c r="B197" s="1098"/>
      <c r="C197" s="1099" t="s">
        <v>38</v>
      </c>
      <c r="D197" s="702"/>
      <c r="E197" s="1100" t="s">
        <v>64</v>
      </c>
      <c r="F197" s="756"/>
      <c r="G197" s="779">
        <v>60</v>
      </c>
      <c r="H197" s="780">
        <v>1498</v>
      </c>
      <c r="I197" s="781">
        <v>13</v>
      </c>
      <c r="J197" s="675">
        <v>745</v>
      </c>
      <c r="K197" s="645"/>
      <c r="L197" s="646">
        <v>284.75</v>
      </c>
      <c r="M197" s="1094">
        <v>320</v>
      </c>
      <c r="N197" s="10">
        <v>0.2</v>
      </c>
      <c r="O197" s="11">
        <v>0.05</v>
      </c>
      <c r="P197" s="9">
        <v>3.0000000000000027E-2</v>
      </c>
      <c r="R197" s="70"/>
    </row>
    <row r="198" spans="1:18" ht="60" customHeight="1" thickBot="1">
      <c r="A198" s="733"/>
      <c r="B198" s="1101"/>
      <c r="C198" s="1102" t="s">
        <v>12</v>
      </c>
      <c r="D198" s="727"/>
      <c r="E198" s="1103" t="s">
        <v>64</v>
      </c>
      <c r="F198" s="763"/>
      <c r="G198" s="684">
        <v>60</v>
      </c>
      <c r="H198" s="685">
        <v>1498</v>
      </c>
      <c r="I198" s="787">
        <v>13</v>
      </c>
      <c r="J198" s="675">
        <v>745</v>
      </c>
      <c r="K198" s="645"/>
      <c r="L198" s="646">
        <v>284.75</v>
      </c>
      <c r="M198" s="1104">
        <v>320</v>
      </c>
      <c r="N198" s="10">
        <v>0.2</v>
      </c>
      <c r="O198" s="11">
        <v>0.05</v>
      </c>
      <c r="P198" s="9">
        <v>3.0000000000000027E-2</v>
      </c>
      <c r="R198" s="70"/>
    </row>
    <row r="199" spans="1:18" s="75" customFormat="1" ht="26.45" customHeight="1" thickBot="1">
      <c r="A199" s="964" t="s">
        <v>162</v>
      </c>
      <c r="B199" s="964"/>
      <c r="C199" s="964"/>
      <c r="D199" s="964"/>
      <c r="E199" s="964"/>
      <c r="F199" s="964"/>
      <c r="G199" s="964"/>
      <c r="H199" s="964"/>
      <c r="I199" s="964"/>
      <c r="J199" s="964"/>
      <c r="K199" s="645"/>
      <c r="L199" s="646"/>
      <c r="M199" s="924"/>
      <c r="N199" s="89"/>
      <c r="O199" s="90"/>
      <c r="P199" s="88"/>
      <c r="R199" s="140"/>
    </row>
    <row r="200" spans="1:18" s="75" customFormat="1" ht="60" customHeight="1" thickBot="1">
      <c r="A200" s="872"/>
      <c r="B200" s="1105"/>
      <c r="C200" s="877" t="s">
        <v>44</v>
      </c>
      <c r="D200" s="652" t="s">
        <v>113</v>
      </c>
      <c r="E200" s="792" t="s">
        <v>163</v>
      </c>
      <c r="F200" s="659"/>
      <c r="G200" s="659">
        <v>264</v>
      </c>
      <c r="H200" s="659">
        <v>1363</v>
      </c>
      <c r="I200" s="660">
        <v>14</v>
      </c>
      <c r="J200" s="661">
        <v>99</v>
      </c>
      <c r="K200" s="645"/>
      <c r="L200" s="646"/>
      <c r="M200" s="924"/>
      <c r="N200" s="89"/>
      <c r="O200" s="90"/>
      <c r="P200" s="88"/>
      <c r="R200" s="140"/>
    </row>
    <row r="201" spans="1:18" ht="72" customHeight="1" thickBot="1">
      <c r="A201" s="1106"/>
      <c r="B201" s="636"/>
      <c r="C201" s="636"/>
      <c r="D201" s="1107"/>
      <c r="E201" s="636"/>
      <c r="F201" s="636"/>
      <c r="G201" s="636"/>
      <c r="H201" s="636"/>
      <c r="I201" s="636"/>
      <c r="J201" s="636"/>
      <c r="K201" s="636"/>
      <c r="L201" s="636"/>
      <c r="M201" s="636"/>
    </row>
    <row r="202" spans="1:18" ht="21" customHeight="1" thickBot="1">
      <c r="A202" s="482" t="s">
        <v>140</v>
      </c>
      <c r="B202" s="483"/>
      <c r="C202" s="483"/>
      <c r="D202" s="483"/>
      <c r="E202" s="483"/>
      <c r="F202" s="483"/>
      <c r="G202" s="483"/>
      <c r="H202" s="483"/>
      <c r="I202" s="483"/>
      <c r="J202" s="483"/>
      <c r="K202" s="483"/>
      <c r="L202" s="483"/>
      <c r="M202" s="484"/>
    </row>
    <row r="203" spans="1:18" s="75" customFormat="1" ht="46.5" customHeight="1" thickBot="1">
      <c r="A203" s="637" t="s">
        <v>0</v>
      </c>
      <c r="B203" s="638" t="s">
        <v>5</v>
      </c>
      <c r="C203" s="639"/>
      <c r="D203" s="640"/>
      <c r="E203" s="641" t="s">
        <v>7</v>
      </c>
      <c r="F203" s="641" t="s">
        <v>16</v>
      </c>
      <c r="G203" s="641" t="s">
        <v>138</v>
      </c>
      <c r="H203" s="642" t="s">
        <v>8</v>
      </c>
      <c r="I203" s="641" t="s">
        <v>25</v>
      </c>
      <c r="J203" s="641" t="s">
        <v>166</v>
      </c>
      <c r="K203" s="1107">
        <v>1.05</v>
      </c>
      <c r="L203" s="641" t="s">
        <v>119</v>
      </c>
      <c r="M203" s="641" t="s">
        <v>167</v>
      </c>
      <c r="N203" s="6" t="s">
        <v>114</v>
      </c>
      <c r="O203" s="6" t="s">
        <v>115</v>
      </c>
      <c r="P203" s="6" t="s">
        <v>116</v>
      </c>
      <c r="R203" s="68"/>
    </row>
    <row r="204" spans="1:18" ht="15" customHeight="1" thickBot="1">
      <c r="A204" s="648" t="s">
        <v>10</v>
      </c>
      <c r="B204" s="649"/>
      <c r="C204" s="649"/>
      <c r="D204" s="649"/>
      <c r="E204" s="649"/>
      <c r="F204" s="649"/>
      <c r="G204" s="649"/>
      <c r="H204" s="649"/>
      <c r="I204" s="649"/>
      <c r="J204" s="649"/>
      <c r="K204" s="1108"/>
      <c r="L204" s="743">
        <v>0</v>
      </c>
      <c r="M204" s="1109"/>
      <c r="N204" s="10" t="e">
        <v>#DIV/0!</v>
      </c>
      <c r="O204" s="11" t="e">
        <v>#DIV/0!</v>
      </c>
      <c r="P204" s="9" t="e">
        <v>#DIV/0!</v>
      </c>
      <c r="R204" s="70"/>
    </row>
    <row r="205" spans="1:18" ht="48" customHeight="1" thickBot="1">
      <c r="A205" s="652">
        <v>2</v>
      </c>
      <c r="B205" s="1041"/>
      <c r="C205" s="1110" t="s">
        <v>6</v>
      </c>
      <c r="D205" s="652" t="s">
        <v>113</v>
      </c>
      <c r="E205" s="1111" t="s">
        <v>129</v>
      </c>
      <c r="F205" s="1111">
        <v>80</v>
      </c>
      <c r="G205" s="658">
        <v>11.52</v>
      </c>
      <c r="H205" s="659">
        <v>2159</v>
      </c>
      <c r="I205" s="877">
        <v>9</v>
      </c>
      <c r="J205" s="661">
        <v>1802</v>
      </c>
      <c r="K205" s="1108"/>
      <c r="L205" s="743">
        <v>711.86</v>
      </c>
      <c r="M205" s="1112">
        <v>800</v>
      </c>
      <c r="N205" s="10">
        <v>0.1</v>
      </c>
      <c r="O205" s="11">
        <v>0.03</v>
      </c>
      <c r="P205" s="9">
        <v>2.0000000000000018E-2</v>
      </c>
      <c r="R205" s="70">
        <f>855*1.1</f>
        <v>940.50000000000011</v>
      </c>
    </row>
    <row r="206" spans="1:18" ht="21.75" thickBot="1">
      <c r="A206" s="648" t="s">
        <v>2</v>
      </c>
      <c r="B206" s="649"/>
      <c r="C206" s="649"/>
      <c r="D206" s="649"/>
      <c r="E206" s="649"/>
      <c r="F206" s="649"/>
      <c r="G206" s="649"/>
      <c r="H206" s="649"/>
      <c r="I206" s="649"/>
      <c r="J206" s="649"/>
      <c r="K206" s="1108"/>
      <c r="L206" s="743">
        <v>0</v>
      </c>
      <c r="M206" s="1109"/>
      <c r="N206" s="10" t="e">
        <v>#DIV/0!</v>
      </c>
      <c r="O206" s="11" t="e">
        <v>#DIV/0!</v>
      </c>
      <c r="P206" s="9" t="e">
        <v>#DIV/0!</v>
      </c>
      <c r="R206" s="70"/>
    </row>
    <row r="207" spans="1:18" ht="18.75" customHeight="1">
      <c r="A207" s="1020">
        <v>3</v>
      </c>
      <c r="B207" s="986"/>
      <c r="C207" s="1113" t="s">
        <v>6</v>
      </c>
      <c r="D207" s="1114" t="s">
        <v>113</v>
      </c>
      <c r="E207" s="1115" t="s">
        <v>17</v>
      </c>
      <c r="F207" s="671">
        <v>60</v>
      </c>
      <c r="G207" s="987">
        <v>12</v>
      </c>
      <c r="H207" s="988">
        <v>1654</v>
      </c>
      <c r="I207" s="1116">
        <v>12</v>
      </c>
      <c r="J207" s="675">
        <v>1620</v>
      </c>
      <c r="K207" s="1117"/>
      <c r="L207" s="1118">
        <v>640.67999999999995</v>
      </c>
      <c r="M207" s="793">
        <v>720</v>
      </c>
      <c r="N207" s="10">
        <v>0.1</v>
      </c>
      <c r="O207" s="11">
        <v>0.03</v>
      </c>
      <c r="P207" s="9">
        <v>2.0000000000000018E-2</v>
      </c>
      <c r="R207" s="70">
        <f>769*1.1</f>
        <v>845.90000000000009</v>
      </c>
    </row>
    <row r="208" spans="1:18" ht="18.75" customHeight="1">
      <c r="A208" s="1024"/>
      <c r="B208" s="991"/>
      <c r="C208" s="1119"/>
      <c r="D208" s="1120" t="s">
        <v>113</v>
      </c>
      <c r="E208" s="1121"/>
      <c r="F208" s="980">
        <v>70</v>
      </c>
      <c r="G208" s="992">
        <v>11</v>
      </c>
      <c r="H208" s="993">
        <v>1773</v>
      </c>
      <c r="I208" s="1122">
        <v>11</v>
      </c>
      <c r="J208" s="782">
        <v>1713</v>
      </c>
      <c r="K208" s="1123"/>
      <c r="L208" s="1124">
        <v>676.27</v>
      </c>
      <c r="M208" s="946">
        <v>760</v>
      </c>
      <c r="N208" s="10">
        <v>0.1</v>
      </c>
      <c r="O208" s="11">
        <v>0.03</v>
      </c>
      <c r="P208" s="9">
        <v>2.0000000000000018E-2</v>
      </c>
      <c r="R208" s="70">
        <f>812*1.1</f>
        <v>893.2</v>
      </c>
    </row>
    <row r="209" spans="1:18" ht="19.5" customHeight="1" thickBot="1">
      <c r="A209" s="1024"/>
      <c r="B209" s="737"/>
      <c r="C209" s="1125"/>
      <c r="D209" s="1126" t="s">
        <v>113</v>
      </c>
      <c r="E209" s="1121"/>
      <c r="F209" s="683">
        <v>80</v>
      </c>
      <c r="G209" s="1127">
        <v>10</v>
      </c>
      <c r="H209" s="685">
        <v>1842</v>
      </c>
      <c r="I209" s="1128">
        <v>10</v>
      </c>
      <c r="J209" s="687">
        <v>1914</v>
      </c>
      <c r="K209" s="1129"/>
      <c r="L209" s="1130">
        <v>756.78</v>
      </c>
      <c r="M209" s="1131">
        <v>850</v>
      </c>
      <c r="N209" s="10">
        <v>0.1</v>
      </c>
      <c r="O209" s="11">
        <v>0.03</v>
      </c>
      <c r="P209" s="9">
        <v>2.0000000000000018E-2</v>
      </c>
      <c r="R209" s="70">
        <f>909*1.1</f>
        <v>999.90000000000009</v>
      </c>
    </row>
    <row r="210" spans="1:18" ht="18.75" customHeight="1">
      <c r="A210" s="1024"/>
      <c r="B210" s="693"/>
      <c r="C210" s="1132" t="s">
        <v>12</v>
      </c>
      <c r="D210" s="1114" t="s">
        <v>113</v>
      </c>
      <c r="E210" s="1121"/>
      <c r="F210" s="671">
        <v>60</v>
      </c>
      <c r="G210" s="987">
        <v>12</v>
      </c>
      <c r="H210" s="988">
        <v>1654</v>
      </c>
      <c r="I210" s="1116">
        <v>12</v>
      </c>
      <c r="J210" s="1017">
        <v>1958</v>
      </c>
      <c r="K210" s="1117"/>
      <c r="L210" s="1118">
        <v>783.05</v>
      </c>
      <c r="M210" s="793">
        <v>880</v>
      </c>
      <c r="N210" s="10">
        <v>0.15</v>
      </c>
      <c r="O210" s="11">
        <v>0.05</v>
      </c>
      <c r="P210" s="9">
        <v>3.0000000000000027E-2</v>
      </c>
      <c r="R210" s="70">
        <f>940*1.1</f>
        <v>1034</v>
      </c>
    </row>
    <row r="211" spans="1:18" ht="18.75" customHeight="1">
      <c r="A211" s="1024"/>
      <c r="B211" s="704"/>
      <c r="C211" s="1133"/>
      <c r="D211" s="1120" t="s">
        <v>113</v>
      </c>
      <c r="E211" s="1121"/>
      <c r="F211" s="980">
        <v>70</v>
      </c>
      <c r="G211" s="992">
        <v>11</v>
      </c>
      <c r="H211" s="993">
        <v>1773</v>
      </c>
      <c r="I211" s="1122">
        <v>11</v>
      </c>
      <c r="J211" s="782">
        <v>2007</v>
      </c>
      <c r="K211" s="1123"/>
      <c r="L211" s="1124">
        <v>800.85</v>
      </c>
      <c r="M211" s="946">
        <v>900</v>
      </c>
      <c r="N211" s="10">
        <v>0.15</v>
      </c>
      <c r="O211" s="11">
        <v>0.05</v>
      </c>
      <c r="P211" s="9">
        <v>3.0000000000000027E-2</v>
      </c>
      <c r="R211" s="70">
        <f>961*1.1</f>
        <v>1057.1000000000001</v>
      </c>
    </row>
    <row r="212" spans="1:18" ht="19.5" customHeight="1" thickBot="1">
      <c r="A212" s="1024"/>
      <c r="B212" s="737"/>
      <c r="C212" s="1134"/>
      <c r="D212" s="1135" t="s">
        <v>113</v>
      </c>
      <c r="E212" s="1121"/>
      <c r="F212" s="683">
        <v>80</v>
      </c>
      <c r="G212" s="1127">
        <v>10</v>
      </c>
      <c r="H212" s="685">
        <v>1842</v>
      </c>
      <c r="I212" s="1128">
        <v>10</v>
      </c>
      <c r="J212" s="687">
        <v>2047</v>
      </c>
      <c r="K212" s="1129"/>
      <c r="L212" s="1130">
        <v>818.64</v>
      </c>
      <c r="M212" s="1131">
        <v>920</v>
      </c>
      <c r="N212" s="10">
        <v>0.15</v>
      </c>
      <c r="O212" s="11">
        <v>0.05</v>
      </c>
      <c r="P212" s="9">
        <v>3.0000000000000027E-2</v>
      </c>
      <c r="R212" s="70">
        <f>982*1.1</f>
        <v>1080.2</v>
      </c>
    </row>
    <row r="213" spans="1:18" ht="18.75" customHeight="1">
      <c r="A213" s="1024"/>
      <c r="B213" s="693"/>
      <c r="C213" s="1035" t="s">
        <v>13</v>
      </c>
      <c r="D213" s="1114" t="s">
        <v>113</v>
      </c>
      <c r="E213" s="1121"/>
      <c r="F213" s="671">
        <v>60</v>
      </c>
      <c r="G213" s="987">
        <v>12</v>
      </c>
      <c r="H213" s="988">
        <v>1654</v>
      </c>
      <c r="I213" s="1116">
        <v>12</v>
      </c>
      <c r="J213" s="1017">
        <v>1958</v>
      </c>
      <c r="K213" s="1117"/>
      <c r="L213" s="1118">
        <v>783.05</v>
      </c>
      <c r="M213" s="793">
        <v>880</v>
      </c>
      <c r="N213" s="10">
        <v>0.15</v>
      </c>
      <c r="O213" s="11">
        <v>0.05</v>
      </c>
      <c r="P213" s="9">
        <v>3.0000000000000027E-2</v>
      </c>
      <c r="R213" s="70"/>
    </row>
    <row r="214" spans="1:18" ht="18.75" customHeight="1">
      <c r="A214" s="1024"/>
      <c r="B214" s="1136"/>
      <c r="C214" s="1133"/>
      <c r="D214" s="1120" t="s">
        <v>113</v>
      </c>
      <c r="E214" s="1121"/>
      <c r="F214" s="980">
        <v>70</v>
      </c>
      <c r="G214" s="992">
        <v>11</v>
      </c>
      <c r="H214" s="993">
        <v>1773</v>
      </c>
      <c r="I214" s="1122">
        <v>11</v>
      </c>
      <c r="J214" s="782">
        <v>2007</v>
      </c>
      <c r="K214" s="1123"/>
      <c r="L214" s="1124">
        <v>800.85</v>
      </c>
      <c r="M214" s="946">
        <v>900</v>
      </c>
      <c r="N214" s="10">
        <v>0.15</v>
      </c>
      <c r="O214" s="11">
        <v>0.05</v>
      </c>
      <c r="P214" s="9">
        <v>3.0000000000000027E-2</v>
      </c>
      <c r="R214" s="70"/>
    </row>
    <row r="215" spans="1:18" ht="20.25" customHeight="1" thickBot="1">
      <c r="A215" s="1024"/>
      <c r="B215" s="1137"/>
      <c r="C215" s="1036"/>
      <c r="D215" s="1135" t="s">
        <v>113</v>
      </c>
      <c r="E215" s="1121"/>
      <c r="F215" s="683">
        <v>80</v>
      </c>
      <c r="G215" s="1127">
        <v>10</v>
      </c>
      <c r="H215" s="685">
        <v>1842</v>
      </c>
      <c r="I215" s="1128">
        <v>10</v>
      </c>
      <c r="J215" s="687">
        <v>2047</v>
      </c>
      <c r="K215" s="1129"/>
      <c r="L215" s="1130">
        <v>818.64</v>
      </c>
      <c r="M215" s="1131">
        <v>920</v>
      </c>
      <c r="N215" s="10">
        <v>0.15</v>
      </c>
      <c r="O215" s="11">
        <v>0.05</v>
      </c>
      <c r="P215" s="9">
        <v>3.0000000000000027E-2</v>
      </c>
      <c r="R215" s="70"/>
    </row>
    <row r="216" spans="1:18" ht="18.75" customHeight="1">
      <c r="A216" s="1024"/>
      <c r="B216" s="986"/>
      <c r="C216" s="1113" t="s">
        <v>28</v>
      </c>
      <c r="D216" s="1138" t="s">
        <v>113</v>
      </c>
      <c r="E216" s="1121"/>
      <c r="F216" s="671">
        <v>60</v>
      </c>
      <c r="G216" s="987">
        <v>12</v>
      </c>
      <c r="H216" s="988">
        <v>1654</v>
      </c>
      <c r="I216" s="1116">
        <v>12</v>
      </c>
      <c r="J216" s="1017">
        <v>1958</v>
      </c>
      <c r="K216" s="1117"/>
      <c r="L216" s="1118">
        <v>783.05</v>
      </c>
      <c r="M216" s="793">
        <v>880</v>
      </c>
      <c r="N216" s="10">
        <v>0.15</v>
      </c>
      <c r="O216" s="11">
        <v>0.05</v>
      </c>
      <c r="P216" s="9">
        <v>3.0000000000000027E-2</v>
      </c>
      <c r="R216" s="70"/>
    </row>
    <row r="217" spans="1:18" ht="18.75" customHeight="1">
      <c r="A217" s="1024"/>
      <c r="B217" s="704"/>
      <c r="C217" s="1119"/>
      <c r="D217" s="1120" t="s">
        <v>113</v>
      </c>
      <c r="E217" s="1121"/>
      <c r="F217" s="980">
        <v>70</v>
      </c>
      <c r="G217" s="992">
        <v>11</v>
      </c>
      <c r="H217" s="993">
        <v>1773</v>
      </c>
      <c r="I217" s="1122">
        <v>11</v>
      </c>
      <c r="J217" s="782">
        <v>2007</v>
      </c>
      <c r="K217" s="1123"/>
      <c r="L217" s="1124">
        <v>800.85</v>
      </c>
      <c r="M217" s="946">
        <v>900</v>
      </c>
      <c r="N217" s="10">
        <v>0.15</v>
      </c>
      <c r="O217" s="11">
        <v>0.05</v>
      </c>
      <c r="P217" s="9">
        <v>3.0000000000000027E-2</v>
      </c>
      <c r="R217" s="70"/>
    </row>
    <row r="218" spans="1:18" ht="19.5" customHeight="1" thickBot="1">
      <c r="A218" s="1139"/>
      <c r="B218" s="737"/>
      <c r="C218" s="1125"/>
      <c r="D218" s="1135" t="s">
        <v>113</v>
      </c>
      <c r="E218" s="1140"/>
      <c r="F218" s="683">
        <v>80</v>
      </c>
      <c r="G218" s="1127">
        <v>10</v>
      </c>
      <c r="H218" s="685">
        <v>1842</v>
      </c>
      <c r="I218" s="1128">
        <v>10</v>
      </c>
      <c r="J218" s="687">
        <v>2047</v>
      </c>
      <c r="K218" s="1129"/>
      <c r="L218" s="1130">
        <v>818.64</v>
      </c>
      <c r="M218" s="1131">
        <v>920</v>
      </c>
      <c r="N218" s="10">
        <v>0.15</v>
      </c>
      <c r="O218" s="11">
        <v>0.05</v>
      </c>
      <c r="P218" s="9">
        <v>3.0000000000000027E-2</v>
      </c>
      <c r="R218" s="70"/>
    </row>
    <row r="219" spans="1:18" ht="16.5" customHeight="1" thickBot="1">
      <c r="A219" s="648" t="s">
        <v>81</v>
      </c>
      <c r="B219" s="649"/>
      <c r="C219" s="649"/>
      <c r="D219" s="649"/>
      <c r="E219" s="649"/>
      <c r="F219" s="649"/>
      <c r="G219" s="649"/>
      <c r="H219" s="649"/>
      <c r="I219" s="649"/>
      <c r="J219" s="649"/>
      <c r="K219" s="1108"/>
      <c r="L219" s="743">
        <v>0</v>
      </c>
      <c r="M219" s="1141"/>
      <c r="N219" s="10" t="e">
        <v>#DIV/0!</v>
      </c>
      <c r="O219" s="11" t="e">
        <v>#DIV/0!</v>
      </c>
      <c r="P219" s="9" t="e">
        <v>#DIV/0!</v>
      </c>
      <c r="R219" s="70"/>
    </row>
    <row r="220" spans="1:18" ht="41.25" customHeight="1">
      <c r="A220" s="1142">
        <v>4</v>
      </c>
      <c r="B220" s="1143"/>
      <c r="C220" s="1144" t="s">
        <v>6</v>
      </c>
      <c r="D220" s="1114" t="s">
        <v>113</v>
      </c>
      <c r="E220" s="1097" t="s">
        <v>41</v>
      </c>
      <c r="F220" s="1022">
        <v>60</v>
      </c>
      <c r="G220" s="672">
        <v>10.38</v>
      </c>
      <c r="H220" s="673">
        <v>1448</v>
      </c>
      <c r="I220" s="931">
        <v>13</v>
      </c>
      <c r="J220" s="675">
        <v>1892</v>
      </c>
      <c r="K220" s="1117"/>
      <c r="L220" s="1118">
        <v>747.46</v>
      </c>
      <c r="M220" s="793">
        <v>840</v>
      </c>
      <c r="N220" s="10">
        <v>0.1</v>
      </c>
      <c r="O220" s="11">
        <v>0.03</v>
      </c>
      <c r="P220" s="9">
        <v>2.0000000000000018E-2</v>
      </c>
      <c r="R220" s="70">
        <f>897*1.1</f>
        <v>986.7</v>
      </c>
    </row>
    <row r="221" spans="1:18" ht="42" customHeight="1" thickBot="1">
      <c r="A221" s="1145"/>
      <c r="B221" s="1146"/>
      <c r="C221" s="1038" t="s">
        <v>12</v>
      </c>
      <c r="D221" s="1135" t="s">
        <v>113</v>
      </c>
      <c r="E221" s="1103" t="s">
        <v>41</v>
      </c>
      <c r="F221" s="1044"/>
      <c r="G221" s="684">
        <v>10.38</v>
      </c>
      <c r="H221" s="685">
        <v>1448</v>
      </c>
      <c r="I221" s="787">
        <v>13</v>
      </c>
      <c r="J221" s="687">
        <v>1942</v>
      </c>
      <c r="K221" s="1129"/>
      <c r="L221" s="1130">
        <v>774.58</v>
      </c>
      <c r="M221" s="1131">
        <v>870</v>
      </c>
      <c r="N221" s="10">
        <v>0.15</v>
      </c>
      <c r="O221" s="11">
        <v>0.05</v>
      </c>
      <c r="P221" s="9">
        <v>3.0000000000000027E-2</v>
      </c>
      <c r="R221" s="70">
        <f>930*1.1</f>
        <v>1023.0000000000001</v>
      </c>
    </row>
    <row r="222" spans="1:18" ht="21.75" thickBot="1">
      <c r="A222" s="643" t="s">
        <v>9</v>
      </c>
      <c r="B222" s="644"/>
      <c r="C222" s="644"/>
      <c r="D222" s="644"/>
      <c r="E222" s="644"/>
      <c r="F222" s="644"/>
      <c r="G222" s="644"/>
      <c r="H222" s="644"/>
      <c r="I222" s="644"/>
      <c r="J222" s="644"/>
      <c r="K222" s="1108"/>
      <c r="L222" s="743">
        <v>0</v>
      </c>
      <c r="M222" s="1147"/>
      <c r="N222" s="10" t="e">
        <v>#DIV/0!</v>
      </c>
      <c r="O222" s="11" t="e">
        <v>#DIV/0!</v>
      </c>
      <c r="P222" s="9" t="e">
        <v>#DIV/0!</v>
      </c>
      <c r="R222" s="70"/>
    </row>
    <row r="223" spans="1:18" ht="21.75" thickBot="1">
      <c r="A223" s="1046" t="s">
        <v>27</v>
      </c>
      <c r="B223" s="832"/>
      <c r="C223" s="832"/>
      <c r="D223" s="832"/>
      <c r="E223" s="832"/>
      <c r="F223" s="832"/>
      <c r="G223" s="832"/>
      <c r="H223" s="832"/>
      <c r="I223" s="832"/>
      <c r="J223" s="832"/>
      <c r="K223" s="1108"/>
      <c r="L223" s="743">
        <v>0</v>
      </c>
      <c r="M223" s="1109"/>
      <c r="N223" s="10" t="e">
        <v>#DIV/0!</v>
      </c>
      <c r="O223" s="11" t="e">
        <v>#DIV/0!</v>
      </c>
      <c r="P223" s="9" t="e">
        <v>#DIV/0!</v>
      </c>
      <c r="R223" s="70"/>
    </row>
    <row r="224" spans="1:18" ht="57" customHeight="1" thickBot="1">
      <c r="A224" s="666">
        <v>1</v>
      </c>
      <c r="B224" s="1021"/>
      <c r="C224" s="907" t="s">
        <v>98</v>
      </c>
      <c r="D224" s="1114" t="s">
        <v>113</v>
      </c>
      <c r="E224" s="1148" t="s">
        <v>22</v>
      </c>
      <c r="F224" s="693">
        <v>160</v>
      </c>
      <c r="G224" s="1064">
        <v>5</v>
      </c>
      <c r="H224" s="1065">
        <v>1887</v>
      </c>
      <c r="I224" s="1066">
        <v>10</v>
      </c>
      <c r="J224" s="661">
        <v>3124</v>
      </c>
      <c r="K224" s="1108"/>
      <c r="L224" s="743">
        <v>1266.0999999999999</v>
      </c>
      <c r="M224" s="1112">
        <v>1450</v>
      </c>
      <c r="N224" s="10">
        <v>0.15</v>
      </c>
      <c r="O224" s="11">
        <v>0.05</v>
      </c>
      <c r="P224" s="9">
        <v>4.0000000000000036E-2</v>
      </c>
      <c r="R224" s="70">
        <f>1520*1.1</f>
        <v>1672.0000000000002</v>
      </c>
    </row>
    <row r="225" spans="1:18" ht="57" customHeight="1" thickBot="1">
      <c r="A225" s="794"/>
      <c r="B225" s="1026"/>
      <c r="C225" s="978" t="s">
        <v>87</v>
      </c>
      <c r="D225" s="1120" t="s">
        <v>113</v>
      </c>
      <c r="E225" s="1149"/>
      <c r="F225" s="704"/>
      <c r="G225" s="1074"/>
      <c r="H225" s="1075"/>
      <c r="I225" s="1076"/>
      <c r="J225" s="661">
        <v>3124</v>
      </c>
      <c r="K225" s="1108"/>
      <c r="L225" s="743">
        <v>1266.0999999999999</v>
      </c>
      <c r="M225" s="1150">
        <v>1450</v>
      </c>
      <c r="N225" s="10">
        <v>0.15</v>
      </c>
      <c r="O225" s="11">
        <v>0.05</v>
      </c>
      <c r="P225" s="9">
        <v>4.0000000000000036E-2</v>
      </c>
      <c r="R225" s="70"/>
    </row>
    <row r="226" spans="1:18" ht="57" customHeight="1" thickBot="1">
      <c r="A226" s="794"/>
      <c r="B226" s="1026"/>
      <c r="C226" s="978" t="s">
        <v>85</v>
      </c>
      <c r="D226" s="1120" t="s">
        <v>113</v>
      </c>
      <c r="E226" s="1149"/>
      <c r="F226" s="704"/>
      <c r="G226" s="1074"/>
      <c r="H226" s="1075"/>
      <c r="I226" s="1076"/>
      <c r="J226" s="661">
        <v>3124</v>
      </c>
      <c r="K226" s="1108"/>
      <c r="L226" s="743">
        <v>1266.0999999999999</v>
      </c>
      <c r="M226" s="1112">
        <v>1450</v>
      </c>
      <c r="N226" s="10">
        <v>0.15</v>
      </c>
      <c r="O226" s="11">
        <v>0.05</v>
      </c>
      <c r="P226" s="9">
        <v>4.0000000000000036E-2</v>
      </c>
      <c r="R226" s="70"/>
    </row>
    <row r="227" spans="1:18" ht="57" customHeight="1" thickBot="1">
      <c r="A227" s="794"/>
      <c r="B227" s="1100"/>
      <c r="C227" s="978" t="s">
        <v>83</v>
      </c>
      <c r="D227" s="1120" t="s">
        <v>113</v>
      </c>
      <c r="E227" s="1149"/>
      <c r="F227" s="704"/>
      <c r="G227" s="1074"/>
      <c r="H227" s="1075"/>
      <c r="I227" s="1076"/>
      <c r="J227" s="661">
        <v>3124</v>
      </c>
      <c r="K227" s="1108"/>
      <c r="L227" s="743">
        <v>1266.0999999999999</v>
      </c>
      <c r="M227" s="1112">
        <v>1450</v>
      </c>
      <c r="N227" s="10">
        <v>0.15</v>
      </c>
      <c r="O227" s="11">
        <v>0.05</v>
      </c>
      <c r="P227" s="9">
        <v>4.0000000000000036E-2</v>
      </c>
      <c r="R227" s="70"/>
    </row>
    <row r="228" spans="1:18" ht="57" customHeight="1" thickBot="1">
      <c r="A228" s="678"/>
      <c r="B228" s="1103"/>
      <c r="C228" s="683" t="s">
        <v>6</v>
      </c>
      <c r="D228" s="1135" t="s">
        <v>113</v>
      </c>
      <c r="E228" s="1103" t="s">
        <v>26</v>
      </c>
      <c r="F228" s="737"/>
      <c r="G228" s="684">
        <v>4.8</v>
      </c>
      <c r="H228" s="685">
        <v>1818</v>
      </c>
      <c r="I228" s="787">
        <v>11</v>
      </c>
      <c r="J228" s="663">
        <v>3217</v>
      </c>
      <c r="K228" s="1108"/>
      <c r="L228" s="743">
        <v>1423.73</v>
      </c>
      <c r="M228" s="728">
        <v>1600</v>
      </c>
      <c r="N228" s="10">
        <v>0.15</v>
      </c>
      <c r="O228" s="11">
        <v>0.05</v>
      </c>
      <c r="P228" s="9">
        <v>2.0000000000000018E-2</v>
      </c>
      <c r="R228" s="70">
        <f>1709*1.1</f>
        <v>1879.9</v>
      </c>
    </row>
    <row r="229" spans="1:18" s="75" customFormat="1" ht="21.75" thickBot="1">
      <c r="A229" s="643" t="s">
        <v>1</v>
      </c>
      <c r="B229" s="644"/>
      <c r="C229" s="644"/>
      <c r="D229" s="644"/>
      <c r="E229" s="644"/>
      <c r="F229" s="644"/>
      <c r="G229" s="644"/>
      <c r="H229" s="644"/>
      <c r="I229" s="644"/>
      <c r="J229" s="644"/>
      <c r="K229" s="1108"/>
      <c r="L229" s="743">
        <v>0</v>
      </c>
      <c r="M229" s="1147"/>
      <c r="N229" s="89" t="e">
        <v>#DIV/0!</v>
      </c>
      <c r="O229" s="90" t="e">
        <v>#DIV/0!</v>
      </c>
      <c r="P229" s="88" t="e">
        <v>#DIV/0!</v>
      </c>
      <c r="R229" s="140"/>
    </row>
    <row r="230" spans="1:18" s="75" customFormat="1" ht="15.75" customHeight="1" thickBot="1">
      <c r="A230" s="648" t="s">
        <v>31</v>
      </c>
      <c r="B230" s="649"/>
      <c r="C230" s="649"/>
      <c r="D230" s="649"/>
      <c r="E230" s="649"/>
      <c r="F230" s="649"/>
      <c r="G230" s="649"/>
      <c r="H230" s="649"/>
      <c r="I230" s="649"/>
      <c r="J230" s="649"/>
      <c r="K230" s="1108"/>
      <c r="L230" s="743">
        <v>0</v>
      </c>
      <c r="M230" s="1151"/>
      <c r="N230" s="89" t="e">
        <v>#DIV/0!</v>
      </c>
      <c r="O230" s="90" t="e">
        <v>#DIV/0!</v>
      </c>
      <c r="P230" s="88" t="e">
        <v>#DIV/0!</v>
      </c>
      <c r="R230" s="140"/>
    </row>
    <row r="231" spans="1:18" s="75" customFormat="1" ht="53.25" customHeight="1" thickBot="1">
      <c r="A231" s="1152">
        <v>1</v>
      </c>
      <c r="B231" s="1153"/>
      <c r="C231" s="1021" t="s">
        <v>6</v>
      </c>
      <c r="D231" s="1114" t="s">
        <v>113</v>
      </c>
      <c r="E231" s="1097" t="s">
        <v>19</v>
      </c>
      <c r="F231" s="657" t="s">
        <v>55</v>
      </c>
      <c r="G231" s="672">
        <v>8</v>
      </c>
      <c r="H231" s="673">
        <v>1702</v>
      </c>
      <c r="I231" s="931">
        <v>11</v>
      </c>
      <c r="J231" s="661">
        <v>2109</v>
      </c>
      <c r="K231" s="1108"/>
      <c r="L231" s="743">
        <v>751.69</v>
      </c>
      <c r="M231" s="793">
        <v>845</v>
      </c>
      <c r="N231" s="89">
        <v>0.2</v>
      </c>
      <c r="O231" s="90">
        <v>0.1</v>
      </c>
      <c r="P231" s="88">
        <v>0.02</v>
      </c>
      <c r="R231" s="140">
        <f>902*1.1</f>
        <v>992.2</v>
      </c>
    </row>
    <row r="232" spans="1:18" ht="21.75" thickBot="1">
      <c r="A232" s="643" t="s">
        <v>72</v>
      </c>
      <c r="B232" s="644"/>
      <c r="C232" s="644"/>
      <c r="D232" s="644"/>
      <c r="E232" s="644"/>
      <c r="F232" s="644"/>
      <c r="G232" s="644"/>
      <c r="H232" s="644"/>
      <c r="I232" s="644"/>
      <c r="J232" s="644"/>
      <c r="K232" s="1108"/>
      <c r="L232" s="743">
        <v>0</v>
      </c>
      <c r="M232" s="1154"/>
      <c r="N232" s="10" t="e">
        <v>#DIV/0!</v>
      </c>
      <c r="O232" s="11" t="e">
        <v>#DIV/0!</v>
      </c>
      <c r="P232" s="9" t="e">
        <v>#DIV/0!</v>
      </c>
      <c r="R232" s="70"/>
    </row>
    <row r="233" spans="1:18" ht="21.75" thickBot="1">
      <c r="A233" s="1046" t="s">
        <v>77</v>
      </c>
      <c r="B233" s="832"/>
      <c r="C233" s="832"/>
      <c r="D233" s="832"/>
      <c r="E233" s="832"/>
      <c r="F233" s="832"/>
      <c r="G233" s="832"/>
      <c r="H233" s="832"/>
      <c r="I233" s="832"/>
      <c r="J233" s="832"/>
      <c r="K233" s="1108"/>
      <c r="L233" s="743">
        <v>0</v>
      </c>
      <c r="M233" s="1155"/>
      <c r="N233" s="10" t="e">
        <v>#DIV/0!</v>
      </c>
      <c r="O233" s="11" t="e">
        <v>#DIV/0!</v>
      </c>
      <c r="P233" s="9" t="e">
        <v>#DIV/0!</v>
      </c>
      <c r="R233" s="70"/>
    </row>
    <row r="234" spans="1:18" ht="51" customHeight="1">
      <c r="A234" s="671">
        <v>1</v>
      </c>
      <c r="B234" s="1156"/>
      <c r="C234" s="931" t="s">
        <v>73</v>
      </c>
      <c r="D234" s="1114" t="s">
        <v>113</v>
      </c>
      <c r="E234" s="1097" t="s">
        <v>74</v>
      </c>
      <c r="F234" s="1157"/>
      <c r="G234" s="672">
        <v>120</v>
      </c>
      <c r="H234" s="817">
        <v>1260</v>
      </c>
      <c r="I234" s="931">
        <v>15</v>
      </c>
      <c r="J234" s="856">
        <v>100</v>
      </c>
      <c r="K234" s="1108"/>
      <c r="L234" s="743">
        <v>38.979999999999997</v>
      </c>
      <c r="M234" s="1114">
        <v>46</v>
      </c>
      <c r="N234" s="10">
        <v>0.11</v>
      </c>
      <c r="O234" s="11">
        <v>0.06</v>
      </c>
      <c r="P234" s="9">
        <v>0.02</v>
      </c>
      <c r="R234" s="70">
        <f>47*1.1</f>
        <v>51.7</v>
      </c>
    </row>
    <row r="235" spans="1:18" ht="51.75" customHeight="1" thickBot="1">
      <c r="A235" s="683">
        <v>2</v>
      </c>
      <c r="B235" s="1101"/>
      <c r="C235" s="787" t="s">
        <v>75</v>
      </c>
      <c r="D235" s="1135" t="s">
        <v>113</v>
      </c>
      <c r="E235" s="1103" t="s">
        <v>74</v>
      </c>
      <c r="F235" s="1158"/>
      <c r="G235" s="684">
        <v>120</v>
      </c>
      <c r="H235" s="685" t="s">
        <v>76</v>
      </c>
      <c r="I235" s="787">
        <v>22</v>
      </c>
      <c r="J235" s="1159">
        <v>102</v>
      </c>
      <c r="K235" s="1160"/>
      <c r="L235" s="1161">
        <v>38.14</v>
      </c>
      <c r="M235" s="1135">
        <v>45</v>
      </c>
      <c r="N235" s="10">
        <v>0.11</v>
      </c>
      <c r="O235" s="11">
        <v>0.08</v>
      </c>
      <c r="P235" s="9">
        <v>0.02</v>
      </c>
      <c r="R235" s="70">
        <f>46*1.1</f>
        <v>50.6</v>
      </c>
    </row>
    <row r="236" spans="1:18" ht="21">
      <c r="A236" s="1106"/>
      <c r="B236" s="636"/>
      <c r="C236" s="636"/>
      <c r="D236" s="1107"/>
      <c r="E236" s="636"/>
      <c r="F236" s="636"/>
      <c r="G236" s="636"/>
      <c r="H236" s="636"/>
      <c r="I236" s="636"/>
      <c r="J236" s="636"/>
      <c r="K236" s="636"/>
      <c r="L236" s="636"/>
      <c r="M236" s="636"/>
    </row>
    <row r="237" spans="1:18" s="443" customFormat="1" ht="22.5" customHeight="1">
      <c r="A237" s="445"/>
      <c r="B237" s="441" t="s">
        <v>148</v>
      </c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2"/>
      <c r="R237" s="444"/>
    </row>
    <row r="238" spans="1:18" ht="21">
      <c r="A238" s="1106"/>
      <c r="B238" s="636"/>
      <c r="C238" s="636"/>
      <c r="D238" s="1107"/>
      <c r="E238" s="636"/>
      <c r="F238" s="636"/>
      <c r="G238" s="636"/>
      <c r="H238" s="636"/>
      <c r="I238" s="636"/>
      <c r="J238" s="636"/>
      <c r="K238" s="636"/>
      <c r="L238" s="636"/>
      <c r="M238" s="636"/>
    </row>
    <row r="239" spans="1:18" ht="21">
      <c r="A239" s="1106"/>
      <c r="B239" s="636"/>
      <c r="C239" s="636"/>
      <c r="D239" s="1107"/>
      <c r="E239" s="636"/>
      <c r="F239" s="636"/>
      <c r="G239" s="636"/>
      <c r="H239" s="636"/>
      <c r="I239" s="636"/>
      <c r="J239" s="636"/>
      <c r="K239" s="636"/>
      <c r="L239" s="636"/>
      <c r="M239" s="636"/>
    </row>
    <row r="240" spans="1:18" ht="21">
      <c r="A240" s="1106"/>
      <c r="B240" s="636"/>
      <c r="C240" s="636"/>
      <c r="D240" s="1107"/>
      <c r="E240" s="636"/>
      <c r="F240" s="636"/>
      <c r="G240" s="636"/>
      <c r="H240" s="636"/>
      <c r="I240" s="636"/>
      <c r="J240" s="636"/>
      <c r="K240" s="636"/>
      <c r="L240" s="636"/>
      <c r="M240" s="636"/>
    </row>
  </sheetData>
  <sheetProtection formatCells="0" formatColumns="0" formatRows="0" insertRows="0" insertHyperlinks="0" deleteColumns="0" deleteRows="0" sort="0" autoFilter="0" pivotTables="0"/>
  <mergeCells count="177">
    <mergeCell ref="B7:D7"/>
    <mergeCell ref="A8:J8"/>
    <mergeCell ref="A11:J11"/>
    <mergeCell ref="A9:J9"/>
    <mergeCell ref="E12:E13"/>
    <mergeCell ref="I15:I20"/>
    <mergeCell ref="A12:A13"/>
    <mergeCell ref="A14:J14"/>
    <mergeCell ref="J16:J24"/>
    <mergeCell ref="A15:A27"/>
    <mergeCell ref="G15:G20"/>
    <mergeCell ref="I29:I32"/>
    <mergeCell ref="E29:E32"/>
    <mergeCell ref="L16:L23"/>
    <mergeCell ref="L25:L27"/>
    <mergeCell ref="E15:E20"/>
    <mergeCell ref="A33:J33"/>
    <mergeCell ref="H21:H27"/>
    <mergeCell ref="H15:H20"/>
    <mergeCell ref="G21:G27"/>
    <mergeCell ref="A65:J65"/>
    <mergeCell ref="W1:Z1"/>
    <mergeCell ref="W2:Z2"/>
    <mergeCell ref="W3:Z3"/>
    <mergeCell ref="W4:Z4"/>
    <mergeCell ref="A5:I5"/>
    <mergeCell ref="M25:M27"/>
    <mergeCell ref="F15:F27"/>
    <mergeCell ref="A34:A38"/>
    <mergeCell ref="E34:E38"/>
    <mergeCell ref="J25:J27"/>
    <mergeCell ref="M16:M23"/>
    <mergeCell ref="I21:I27"/>
    <mergeCell ref="A28:J28"/>
    <mergeCell ref="F29:F32"/>
    <mergeCell ref="H29:H32"/>
    <mergeCell ref="G29:G32"/>
    <mergeCell ref="F131:F133"/>
    <mergeCell ref="A6:J6"/>
    <mergeCell ref="A233:J233"/>
    <mergeCell ref="C88:C89"/>
    <mergeCell ref="C74:C75"/>
    <mergeCell ref="E74:E101"/>
    <mergeCell ref="A120:J120"/>
    <mergeCell ref="A127:J127"/>
    <mergeCell ref="C94:C95"/>
    <mergeCell ref="C144:C145"/>
    <mergeCell ref="A206:J206"/>
    <mergeCell ref="A50:J50"/>
    <mergeCell ref="F34:F38"/>
    <mergeCell ref="E21:E27"/>
    <mergeCell ref="F44:F49"/>
    <mergeCell ref="F40:F42"/>
    <mergeCell ref="A29:A32"/>
    <mergeCell ref="A68:A101"/>
    <mergeCell ref="A232:J232"/>
    <mergeCell ref="E40:E42"/>
    <mergeCell ref="E128:E129"/>
    <mergeCell ref="F224:F228"/>
    <mergeCell ref="E146:E147"/>
    <mergeCell ref="C72:C73"/>
    <mergeCell ref="A169:J169"/>
    <mergeCell ref="B140:B142"/>
    <mergeCell ref="C140:C143"/>
    <mergeCell ref="A156:J156"/>
    <mergeCell ref="B148:B149"/>
    <mergeCell ref="C164:C165"/>
    <mergeCell ref="I224:I227"/>
    <mergeCell ref="A223:J223"/>
    <mergeCell ref="E224:E227"/>
    <mergeCell ref="A224:A228"/>
    <mergeCell ref="A222:J222"/>
    <mergeCell ref="C216:C218"/>
    <mergeCell ref="A220:A221"/>
    <mergeCell ref="E68:E73"/>
    <mergeCell ref="B70:B71"/>
    <mergeCell ref="A135:A138"/>
    <mergeCell ref="C84:C85"/>
    <mergeCell ref="E121:E125"/>
    <mergeCell ref="C98:C99"/>
    <mergeCell ref="F128:F129"/>
    <mergeCell ref="E150:E151"/>
    <mergeCell ref="B157:B159"/>
    <mergeCell ref="A157:A168"/>
    <mergeCell ref="B162:B163"/>
    <mergeCell ref="B173:D173"/>
    <mergeCell ref="A39:J39"/>
    <mergeCell ref="A51:A52"/>
    <mergeCell ref="F54:F64"/>
    <mergeCell ref="E44:E49"/>
    <mergeCell ref="A128:A129"/>
    <mergeCell ref="A130:J130"/>
    <mergeCell ref="A131:A133"/>
    <mergeCell ref="E131:E133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A44:A49"/>
    <mergeCell ref="F177:F186"/>
    <mergeCell ref="A139:J139"/>
    <mergeCell ref="C150:C151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21:A126"/>
    <mergeCell ref="F121:F126"/>
    <mergeCell ref="A140:A155"/>
    <mergeCell ref="C90:C91"/>
    <mergeCell ref="C86:C87"/>
    <mergeCell ref="C76:C77"/>
    <mergeCell ref="E148:E149"/>
    <mergeCell ref="A102:J102"/>
    <mergeCell ref="A103:A119"/>
    <mergeCell ref="E103:E119"/>
    <mergeCell ref="A134:J134"/>
    <mergeCell ref="F157:F168"/>
    <mergeCell ref="A230:J230"/>
    <mergeCell ref="A195:A198"/>
    <mergeCell ref="A229:J229"/>
    <mergeCell ref="B203:D203"/>
    <mergeCell ref="H188:H193"/>
    <mergeCell ref="F220:F221"/>
    <mergeCell ref="H224:H227"/>
    <mergeCell ref="G224:G227"/>
    <mergeCell ref="E177:E186"/>
    <mergeCell ref="A187:J187"/>
    <mergeCell ref="A177:A186"/>
    <mergeCell ref="A194:J194"/>
    <mergeCell ref="I188:I193"/>
    <mergeCell ref="G177:G186"/>
    <mergeCell ref="G188:G193"/>
    <mergeCell ref="A188:A193"/>
    <mergeCell ref="I177:I186"/>
    <mergeCell ref="E207:E218"/>
    <mergeCell ref="C213:C215"/>
    <mergeCell ref="E188:E193"/>
    <mergeCell ref="F195:F198"/>
    <mergeCell ref="A219:J219"/>
    <mergeCell ref="C207:C209"/>
    <mergeCell ref="A199:J199"/>
    <mergeCell ref="E140:E142"/>
    <mergeCell ref="E144:E145"/>
    <mergeCell ref="B144:B145"/>
    <mergeCell ref="C148:C149"/>
    <mergeCell ref="C146:C147"/>
    <mergeCell ref="B216:B218"/>
    <mergeCell ref="A207:A218"/>
    <mergeCell ref="B207:B209"/>
    <mergeCell ref="C157:C159"/>
    <mergeCell ref="B150:B151"/>
    <mergeCell ref="A174:J174"/>
    <mergeCell ref="B210:B212"/>
    <mergeCell ref="C210:C212"/>
    <mergeCell ref="B213:B215"/>
    <mergeCell ref="B160:B161"/>
    <mergeCell ref="A204:J204"/>
    <mergeCell ref="C160:C161"/>
    <mergeCell ref="A202:M202"/>
    <mergeCell ref="F188:F193"/>
    <mergeCell ref="A176:J176"/>
    <mergeCell ref="H177:H186"/>
    <mergeCell ref="A172:J172"/>
    <mergeCell ref="C162:C163"/>
  </mergeCells>
  <pageMargins left="0.25" right="0.25" top="0.75" bottom="0.75" header="0.3" footer="0.3"/>
  <pageSetup paperSize="9" scale="2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9525</xdr:colOff>
                <xdr:row>96</xdr:row>
                <xdr:rowOff>371475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125</xdr:row>
                <xdr:rowOff>9525</xdr:rowOff>
              </from>
              <to>
                <xdr:col>2</xdr:col>
                <xdr:colOff>9525</xdr:colOff>
                <xdr:row>126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7">
          <objectPr defaultSize="0" autoPict="0" r:id="rId5">
            <anchor moveWithCells="1">
              <from>
                <xdr:col>1</xdr:col>
                <xdr:colOff>0</xdr:colOff>
                <xdr:row>116</xdr:row>
                <xdr:rowOff>9525</xdr:rowOff>
              </from>
              <to>
                <xdr:col>2</xdr:col>
                <xdr:colOff>9525</xdr:colOff>
                <xdr:row>117</xdr:row>
                <xdr:rowOff>28575</xdr:rowOff>
              </to>
            </anchor>
          </objectPr>
        </oleObject>
      </mc:Choice>
      <mc:Fallback>
        <oleObject progId="Paint.Picture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66"/>
      <c r="B4" s="75"/>
      <c r="C4" s="75"/>
      <c r="D4" s="67"/>
      <c r="E4" s="75"/>
      <c r="F4" s="75"/>
      <c r="G4" s="75"/>
      <c r="H4" s="75"/>
      <c r="I4" s="75"/>
      <c r="J4" s="75"/>
      <c r="K4" s="439"/>
      <c r="L4" s="437"/>
      <c r="M4" s="616" t="s">
        <v>144</v>
      </c>
      <c r="N4" s="616"/>
      <c r="O4" s="616"/>
      <c r="P4" s="616"/>
      <c r="Q4" s="75"/>
    </row>
    <row r="5" spans="1:17" ht="18.75">
      <c r="A5" s="66"/>
      <c r="B5" s="75"/>
      <c r="C5" s="75"/>
      <c r="D5" s="67"/>
      <c r="E5" s="75"/>
      <c r="F5" s="75"/>
      <c r="G5" s="75"/>
      <c r="H5" s="75"/>
      <c r="I5" s="75"/>
      <c r="J5" s="75"/>
      <c r="K5" s="437"/>
      <c r="L5" s="438"/>
      <c r="M5" s="617" t="s">
        <v>147</v>
      </c>
      <c r="N5" s="617"/>
      <c r="O5" s="617"/>
      <c r="P5" s="617"/>
      <c r="Q5" s="75"/>
    </row>
    <row r="6" spans="1:17" ht="18.75">
      <c r="A6" s="66"/>
      <c r="B6" s="75"/>
      <c r="C6" s="75"/>
      <c r="D6" s="67"/>
      <c r="E6" s="75"/>
      <c r="F6" s="75"/>
      <c r="G6" s="75"/>
      <c r="H6" s="75"/>
      <c r="I6" s="75"/>
      <c r="J6" s="75"/>
      <c r="K6" s="438"/>
      <c r="L6" s="438"/>
      <c r="M6" s="617" t="s">
        <v>146</v>
      </c>
      <c r="N6" s="617"/>
      <c r="O6" s="617"/>
      <c r="P6" s="617"/>
      <c r="Q6" s="75"/>
    </row>
    <row r="7" spans="1:17" ht="18.75">
      <c r="A7" s="66"/>
      <c r="B7" s="75"/>
      <c r="C7" s="75"/>
      <c r="D7" s="67"/>
      <c r="E7" s="75"/>
      <c r="F7" s="75"/>
      <c r="G7" s="75"/>
      <c r="H7" s="75"/>
      <c r="I7" s="75"/>
      <c r="J7" s="75"/>
      <c r="K7" s="438"/>
      <c r="L7" s="438"/>
      <c r="M7" s="617" t="s">
        <v>145</v>
      </c>
      <c r="N7" s="617"/>
      <c r="O7" s="617"/>
      <c r="P7" s="617"/>
      <c r="Q7" s="75"/>
    </row>
    <row r="8" spans="1:17" ht="18.75">
      <c r="A8" s="601"/>
      <c r="B8" s="601"/>
      <c r="C8" s="601"/>
      <c r="D8" s="601"/>
      <c r="E8" s="601"/>
      <c r="F8" s="601"/>
      <c r="G8" s="601"/>
      <c r="H8" s="601"/>
      <c r="I8" s="601"/>
      <c r="J8" s="601"/>
      <c r="K8" s="438"/>
      <c r="L8" s="438"/>
      <c r="M8" s="438"/>
      <c r="N8" s="438"/>
      <c r="O8" s="75"/>
      <c r="P8" s="75"/>
      <c r="Q8" s="75"/>
    </row>
    <row r="9" spans="1:17" ht="16.5" thickBot="1">
      <c r="A9" s="583" t="s">
        <v>130</v>
      </c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75"/>
      <c r="P9" s="75"/>
      <c r="Q9" s="75"/>
    </row>
    <row r="10" spans="1:17" ht="123" thickBot="1">
      <c r="A10" s="76" t="s">
        <v>0</v>
      </c>
      <c r="B10" s="501" t="s">
        <v>5</v>
      </c>
      <c r="C10" s="502"/>
      <c r="D10" s="503"/>
      <c r="E10" s="77" t="s">
        <v>7</v>
      </c>
      <c r="F10" s="77" t="s">
        <v>16</v>
      </c>
      <c r="G10" s="77" t="s">
        <v>32</v>
      </c>
      <c r="H10" s="78" t="s">
        <v>8</v>
      </c>
      <c r="I10" s="77" t="s">
        <v>25</v>
      </c>
      <c r="J10" s="79" t="s">
        <v>33</v>
      </c>
      <c r="K10" s="77" t="s">
        <v>56</v>
      </c>
      <c r="L10" s="78" t="s">
        <v>82</v>
      </c>
      <c r="M10" s="77" t="s">
        <v>53</v>
      </c>
      <c r="N10" s="80" t="s">
        <v>54</v>
      </c>
      <c r="O10" s="75">
        <v>1.05</v>
      </c>
      <c r="P10" s="77" t="s">
        <v>119</v>
      </c>
      <c r="Q10" s="77" t="s">
        <v>120</v>
      </c>
    </row>
    <row r="11" spans="1:17" ht="16.5" thickBot="1">
      <c r="A11" s="492" t="s">
        <v>139</v>
      </c>
      <c r="B11" s="493"/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4"/>
      <c r="O11" s="135"/>
      <c r="P11" s="136">
        <v>0</v>
      </c>
      <c r="Q11" s="55"/>
    </row>
    <row r="12" spans="1:17" ht="15.75" thickBot="1">
      <c r="A12" s="469" t="s">
        <v>3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1"/>
      <c r="O12" s="7"/>
      <c r="P12" s="7"/>
      <c r="Q12" s="8"/>
    </row>
    <row r="13" spans="1:17" ht="75.75" thickBot="1">
      <c r="A13" s="150">
        <v>1</v>
      </c>
      <c r="B13" s="400"/>
      <c r="C13" s="82" t="s">
        <v>83</v>
      </c>
      <c r="D13" s="83" t="s">
        <v>78</v>
      </c>
      <c r="E13" s="84" t="s">
        <v>11</v>
      </c>
      <c r="F13" s="322">
        <v>70</v>
      </c>
      <c r="G13" s="130">
        <v>9.42</v>
      </c>
      <c r="H13" s="111">
        <v>1499</v>
      </c>
      <c r="I13" s="192">
        <v>13</v>
      </c>
      <c r="J13" s="85">
        <f>M13*1.3</f>
        <v>1605.5</v>
      </c>
      <c r="K13" s="86">
        <f>J13*0.95</f>
        <v>1525.2249999999999</v>
      </c>
      <c r="L13" s="74">
        <f>M13*1.05</f>
        <v>1296.75</v>
      </c>
      <c r="M13" s="86">
        <f>ROUND(1176*1.05,0)</f>
        <v>1235</v>
      </c>
      <c r="N13" s="87">
        <f>ROUND(M13/1.2,2)</f>
        <v>1029.17</v>
      </c>
      <c r="O13" s="135"/>
      <c r="P13" s="136">
        <v>873.73</v>
      </c>
      <c r="Q13" s="230">
        <v>1001</v>
      </c>
    </row>
    <row r="14" spans="1:17" ht="15.75" thickBot="1">
      <c r="A14" s="611" t="s">
        <v>23</v>
      </c>
      <c r="B14" s="569"/>
      <c r="C14" s="569"/>
      <c r="D14" s="569"/>
      <c r="E14" s="569"/>
      <c r="F14" s="569"/>
      <c r="G14" s="569"/>
      <c r="H14" s="569"/>
      <c r="I14" s="569"/>
      <c r="J14" s="569"/>
      <c r="K14" s="569"/>
      <c r="L14" s="569"/>
      <c r="M14" s="569"/>
      <c r="N14" s="584"/>
      <c r="O14" s="135"/>
      <c r="P14" s="136">
        <v>0</v>
      </c>
      <c r="Q14" s="75"/>
    </row>
    <row r="15" spans="1:17" ht="19.5" thickBot="1">
      <c r="A15" s="512">
        <v>2</v>
      </c>
      <c r="B15" s="398"/>
      <c r="C15" s="338" t="s">
        <v>6</v>
      </c>
      <c r="D15" s="101" t="s">
        <v>78</v>
      </c>
      <c r="E15" s="612" t="s">
        <v>24</v>
      </c>
      <c r="F15" s="320">
        <v>60</v>
      </c>
      <c r="G15" s="256">
        <v>13.39</v>
      </c>
      <c r="H15" s="237">
        <v>1734</v>
      </c>
      <c r="I15" s="113">
        <v>11</v>
      </c>
      <c r="J15" s="172">
        <f>M15*1.1</f>
        <v>985.60000000000014</v>
      </c>
      <c r="K15" s="173">
        <f>J15*0.97</f>
        <v>956.03200000000015</v>
      </c>
      <c r="L15" s="174">
        <f>M15*1.03</f>
        <v>922.88</v>
      </c>
      <c r="M15" s="173">
        <f>ROUND(853*1.05,0)</f>
        <v>896</v>
      </c>
      <c r="N15" s="175">
        <f>ROUND(M15/1.2,2)</f>
        <v>746.67</v>
      </c>
      <c r="O15" s="135"/>
      <c r="P15" s="136">
        <v>591.53</v>
      </c>
      <c r="Q15" s="12">
        <v>665</v>
      </c>
    </row>
    <row r="16" spans="1:17" ht="45.75" thickBot="1">
      <c r="A16" s="515"/>
      <c r="B16" s="399"/>
      <c r="C16" s="340" t="s">
        <v>85</v>
      </c>
      <c r="D16" s="106" t="s">
        <v>78</v>
      </c>
      <c r="E16" s="613"/>
      <c r="F16" s="321">
        <v>60</v>
      </c>
      <c r="G16" s="257">
        <v>13.39</v>
      </c>
      <c r="H16" s="239">
        <v>1734</v>
      </c>
      <c r="I16" s="149">
        <v>11</v>
      </c>
      <c r="J16" s="178">
        <f>M16*1.3</f>
        <v>1439.1000000000001</v>
      </c>
      <c r="K16" s="4">
        <f>J16*0.95</f>
        <v>1367.145</v>
      </c>
      <c r="L16" s="179">
        <f>M16*1.05</f>
        <v>1162.3500000000001</v>
      </c>
      <c r="M16" s="4">
        <f>ROUND(1054*1.05,0)</f>
        <v>1107</v>
      </c>
      <c r="N16" s="180">
        <f>ROUND(M16/1.2,2)</f>
        <v>922.5</v>
      </c>
      <c r="O16" s="135"/>
      <c r="P16" s="136">
        <v>782.2</v>
      </c>
      <c r="Q16" s="12">
        <v>896</v>
      </c>
    </row>
    <row r="17" spans="1:17" ht="15.75" thickBot="1">
      <c r="A17" s="469" t="s">
        <v>80</v>
      </c>
      <c r="B17" s="470"/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1"/>
      <c r="O17" s="135"/>
      <c r="P17" s="136">
        <v>0</v>
      </c>
      <c r="Q17" s="75"/>
    </row>
    <row r="18" spans="1:17" ht="19.5" thickBot="1">
      <c r="A18" s="498">
        <v>3</v>
      </c>
      <c r="B18" s="391"/>
      <c r="C18" s="208" t="s">
        <v>6</v>
      </c>
      <c r="D18" s="196" t="s">
        <v>78</v>
      </c>
      <c r="E18" s="605" t="s">
        <v>65</v>
      </c>
      <c r="F18" s="472">
        <v>60</v>
      </c>
      <c r="G18" s="615">
        <v>13.44</v>
      </c>
      <c r="H18" s="608">
        <v>1880</v>
      </c>
      <c r="I18" s="614">
        <v>10</v>
      </c>
      <c r="J18" s="86">
        <f>M18*1.1</f>
        <v>751.30000000000007</v>
      </c>
      <c r="K18" s="86">
        <f>J18*0.97</f>
        <v>728.76100000000008</v>
      </c>
      <c r="L18" s="74">
        <f>M18*1.03</f>
        <v>703.49</v>
      </c>
      <c r="M18" s="86">
        <f>ROUND(650*1.05,0)</f>
        <v>683</v>
      </c>
      <c r="N18" s="87">
        <f>ROUND(M18/1.2,2)</f>
        <v>569.16999999999996</v>
      </c>
      <c r="O18" s="135"/>
      <c r="P18" s="136">
        <v>450.85</v>
      </c>
      <c r="Q18" s="227">
        <v>507</v>
      </c>
    </row>
    <row r="19" spans="1:17" ht="18.75">
      <c r="A19" s="499"/>
      <c r="B19" s="401"/>
      <c r="C19" s="269" t="s">
        <v>14</v>
      </c>
      <c r="D19" s="169" t="s">
        <v>78</v>
      </c>
      <c r="E19" s="593"/>
      <c r="F19" s="459"/>
      <c r="G19" s="609"/>
      <c r="H19" s="606"/>
      <c r="I19" s="602"/>
      <c r="J19" s="596">
        <f>ROUND(M19*1.15,0)</f>
        <v>909</v>
      </c>
      <c r="K19" s="596">
        <f>J19*0.95</f>
        <v>863.55</v>
      </c>
      <c r="L19" s="596">
        <f>M19*1.04</f>
        <v>821.6</v>
      </c>
      <c r="M19" s="592">
        <f>ROUND(752*1.05,0)</f>
        <v>790</v>
      </c>
      <c r="N19" s="587">
        <f>ROUND(M19/1.2,2)</f>
        <v>658.33</v>
      </c>
      <c r="O19" s="135"/>
      <c r="P19" s="604">
        <v>521.19000000000005</v>
      </c>
      <c r="Q19" s="596">
        <v>586</v>
      </c>
    </row>
    <row r="20" spans="1:17" ht="18.75">
      <c r="A20" s="499"/>
      <c r="B20" s="403"/>
      <c r="C20" s="267" t="s">
        <v>47</v>
      </c>
      <c r="D20" s="157" t="s">
        <v>78</v>
      </c>
      <c r="E20" s="593"/>
      <c r="F20" s="459"/>
      <c r="G20" s="609"/>
      <c r="H20" s="606"/>
      <c r="I20" s="602"/>
      <c r="J20" s="597"/>
      <c r="K20" s="597"/>
      <c r="L20" s="597"/>
      <c r="M20" s="590"/>
      <c r="N20" s="588"/>
      <c r="O20" s="135"/>
      <c r="P20" s="604"/>
      <c r="Q20" s="597"/>
    </row>
    <row r="21" spans="1:17" ht="18.75">
      <c r="A21" s="499"/>
      <c r="B21" s="392"/>
      <c r="C21" s="267" t="s">
        <v>44</v>
      </c>
      <c r="D21" s="157" t="s">
        <v>78</v>
      </c>
      <c r="E21" s="593"/>
      <c r="F21" s="459"/>
      <c r="G21" s="609"/>
      <c r="H21" s="606"/>
      <c r="I21" s="602"/>
      <c r="J21" s="597"/>
      <c r="K21" s="597"/>
      <c r="L21" s="597"/>
      <c r="M21" s="590"/>
      <c r="N21" s="588"/>
      <c r="O21" s="135"/>
      <c r="P21" s="604"/>
      <c r="Q21" s="597"/>
    </row>
    <row r="22" spans="1:17" ht="18.75">
      <c r="A22" s="499"/>
      <c r="B22" s="394"/>
      <c r="C22" s="267" t="s">
        <v>49</v>
      </c>
      <c r="D22" s="157" t="s">
        <v>78</v>
      </c>
      <c r="E22" s="593"/>
      <c r="F22" s="459"/>
      <c r="G22" s="609"/>
      <c r="H22" s="606"/>
      <c r="I22" s="602"/>
      <c r="J22" s="597"/>
      <c r="K22" s="597"/>
      <c r="L22" s="597"/>
      <c r="M22" s="590"/>
      <c r="N22" s="588"/>
      <c r="O22" s="135"/>
      <c r="P22" s="604"/>
      <c r="Q22" s="597"/>
    </row>
    <row r="23" spans="1:17" ht="18.75">
      <c r="A23" s="499"/>
      <c r="B23" s="395"/>
      <c r="C23" s="267" t="s">
        <v>50</v>
      </c>
      <c r="D23" s="157" t="s">
        <v>78</v>
      </c>
      <c r="E23" s="593"/>
      <c r="F23" s="459"/>
      <c r="G23" s="609"/>
      <c r="H23" s="606"/>
      <c r="I23" s="602"/>
      <c r="J23" s="597"/>
      <c r="K23" s="597"/>
      <c r="L23" s="597"/>
      <c r="M23" s="590"/>
      <c r="N23" s="588"/>
      <c r="O23" s="135"/>
      <c r="P23" s="604"/>
      <c r="Q23" s="597"/>
    </row>
    <row r="24" spans="1:17" ht="18.75">
      <c r="A24" s="499"/>
      <c r="B24" s="396"/>
      <c r="C24" s="267" t="s">
        <v>51</v>
      </c>
      <c r="D24" s="157" t="s">
        <v>78</v>
      </c>
      <c r="E24" s="593" t="s">
        <v>66</v>
      </c>
      <c r="F24" s="459"/>
      <c r="G24" s="609">
        <v>11.4</v>
      </c>
      <c r="H24" s="606">
        <v>1606</v>
      </c>
      <c r="I24" s="602">
        <v>12</v>
      </c>
      <c r="J24" s="597"/>
      <c r="K24" s="597"/>
      <c r="L24" s="597"/>
      <c r="M24" s="590"/>
      <c r="N24" s="588"/>
      <c r="O24" s="135"/>
      <c r="P24" s="604"/>
      <c r="Q24" s="597"/>
    </row>
    <row r="25" spans="1:17" ht="18.75">
      <c r="A25" s="499"/>
      <c r="B25" s="393"/>
      <c r="C25" s="267" t="s">
        <v>52</v>
      </c>
      <c r="D25" s="157" t="s">
        <v>78</v>
      </c>
      <c r="E25" s="593"/>
      <c r="F25" s="459"/>
      <c r="G25" s="609"/>
      <c r="H25" s="606"/>
      <c r="I25" s="602"/>
      <c r="J25" s="597"/>
      <c r="K25" s="597"/>
      <c r="L25" s="597"/>
      <c r="M25" s="590"/>
      <c r="N25" s="588"/>
      <c r="O25" s="135"/>
      <c r="P25" s="604"/>
      <c r="Q25" s="597"/>
    </row>
    <row r="26" spans="1:17" ht="19.5" thickBot="1">
      <c r="A26" s="499"/>
      <c r="B26" s="397"/>
      <c r="C26" s="267" t="s">
        <v>38</v>
      </c>
      <c r="D26" s="157" t="s">
        <v>78</v>
      </c>
      <c r="E26" s="593"/>
      <c r="F26" s="459"/>
      <c r="G26" s="609"/>
      <c r="H26" s="606"/>
      <c r="I26" s="602"/>
      <c r="J26" s="597"/>
      <c r="K26" s="597"/>
      <c r="L26" s="597"/>
      <c r="M26" s="590"/>
      <c r="N26" s="588"/>
      <c r="O26" s="135"/>
      <c r="P26" s="604"/>
      <c r="Q26" s="598"/>
    </row>
    <row r="27" spans="1:17" ht="19.5" thickBot="1">
      <c r="A27" s="499"/>
      <c r="B27" s="405"/>
      <c r="C27" s="260" t="s">
        <v>48</v>
      </c>
      <c r="D27" s="168" t="s">
        <v>78</v>
      </c>
      <c r="E27" s="593"/>
      <c r="F27" s="459"/>
      <c r="G27" s="609"/>
      <c r="H27" s="606"/>
      <c r="I27" s="602"/>
      <c r="J27" s="598"/>
      <c r="K27" s="598"/>
      <c r="L27" s="598"/>
      <c r="M27" s="591"/>
      <c r="N27" s="589"/>
      <c r="O27" s="135"/>
      <c r="P27" s="136">
        <v>726.27</v>
      </c>
      <c r="Q27" s="14">
        <v>816</v>
      </c>
    </row>
    <row r="28" spans="1:17" ht="60">
      <c r="A28" s="499"/>
      <c r="B28" s="404"/>
      <c r="C28" s="266" t="s">
        <v>86</v>
      </c>
      <c r="D28" s="197" t="s">
        <v>78</v>
      </c>
      <c r="E28" s="593"/>
      <c r="F28" s="459"/>
      <c r="G28" s="609"/>
      <c r="H28" s="606"/>
      <c r="I28" s="602"/>
      <c r="J28" s="596">
        <f>M28*1.3</f>
        <v>1480.7</v>
      </c>
      <c r="K28" s="597">
        <f>J28*0.95</f>
        <v>1406.665</v>
      </c>
      <c r="L28" s="597">
        <f>M28*1.05</f>
        <v>1195.95</v>
      </c>
      <c r="M28" s="590">
        <f>ROUND(1085*1.05,0)</f>
        <v>1139</v>
      </c>
      <c r="N28" s="588">
        <f>ROUND(M28/1.2,2)</f>
        <v>949.17</v>
      </c>
      <c r="O28" s="135"/>
      <c r="P28" s="604">
        <v>805.08</v>
      </c>
      <c r="Q28" s="596">
        <v>922</v>
      </c>
    </row>
    <row r="29" spans="1:17" ht="45">
      <c r="A29" s="499"/>
      <c r="B29" s="402"/>
      <c r="C29" s="191" t="s">
        <v>85</v>
      </c>
      <c r="D29" s="158" t="s">
        <v>78</v>
      </c>
      <c r="E29" s="593"/>
      <c r="F29" s="459"/>
      <c r="G29" s="609"/>
      <c r="H29" s="606"/>
      <c r="I29" s="602"/>
      <c r="J29" s="597"/>
      <c r="K29" s="597"/>
      <c r="L29" s="597"/>
      <c r="M29" s="590"/>
      <c r="N29" s="588"/>
      <c r="O29" s="135"/>
      <c r="P29" s="604"/>
      <c r="Q29" s="597"/>
    </row>
    <row r="30" spans="1:17" ht="60.75" thickBot="1">
      <c r="A30" s="500"/>
      <c r="B30" s="406"/>
      <c r="C30" s="263" t="s">
        <v>87</v>
      </c>
      <c r="D30" s="198" t="s">
        <v>78</v>
      </c>
      <c r="E30" s="594"/>
      <c r="F30" s="460"/>
      <c r="G30" s="610"/>
      <c r="H30" s="607"/>
      <c r="I30" s="603"/>
      <c r="J30" s="598"/>
      <c r="K30" s="598"/>
      <c r="L30" s="598"/>
      <c r="M30" s="591"/>
      <c r="N30" s="589"/>
      <c r="O30" s="135"/>
      <c r="P30" s="604"/>
      <c r="Q30" s="598"/>
    </row>
    <row r="31" spans="1:17" ht="15.75" thickBot="1">
      <c r="A31" s="469" t="s">
        <v>61</v>
      </c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1"/>
      <c r="O31" s="135"/>
      <c r="P31" s="136">
        <v>0</v>
      </c>
      <c r="Q31" s="15"/>
    </row>
    <row r="32" spans="1:17" ht="19.5" thickBot="1">
      <c r="A32" s="498">
        <v>4</v>
      </c>
      <c r="B32" s="407"/>
      <c r="C32" s="311" t="s">
        <v>6</v>
      </c>
      <c r="D32" s="101"/>
      <c r="E32" s="554" t="s">
        <v>126</v>
      </c>
      <c r="F32" s="485">
        <v>60</v>
      </c>
      <c r="G32" s="318">
        <v>11.29</v>
      </c>
      <c r="H32" s="315">
        <v>1606</v>
      </c>
      <c r="I32" s="316">
        <v>12</v>
      </c>
      <c r="J32" s="85">
        <f>M32*1.15</f>
        <v>871.69999999999993</v>
      </c>
      <c r="K32" s="86">
        <f>J32*0.97</f>
        <v>845.54899999999986</v>
      </c>
      <c r="L32" s="74">
        <f>M32*1.03</f>
        <v>780.74</v>
      </c>
      <c r="M32" s="86">
        <f>ROUND(722*1.05,0)</f>
        <v>758</v>
      </c>
      <c r="N32" s="87">
        <f>ROUND(M32/1.2,2)</f>
        <v>631.66999999999996</v>
      </c>
      <c r="O32" s="135"/>
      <c r="P32" s="136"/>
      <c r="Q32" s="20"/>
    </row>
    <row r="33" spans="1:17" ht="60">
      <c r="A33" s="499"/>
      <c r="B33" s="409"/>
      <c r="C33" s="235" t="s">
        <v>68</v>
      </c>
      <c r="D33" s="101" t="s">
        <v>78</v>
      </c>
      <c r="E33" s="555"/>
      <c r="F33" s="486"/>
      <c r="G33" s="319">
        <v>11.29</v>
      </c>
      <c r="H33" s="199">
        <v>1606</v>
      </c>
      <c r="I33" s="200">
        <v>12</v>
      </c>
      <c r="J33" s="172">
        <f>M33*1.3</f>
        <v>1605.5</v>
      </c>
      <c r="K33" s="173">
        <f>J33*0.95</f>
        <v>1525.2249999999999</v>
      </c>
      <c r="L33" s="174">
        <f>M33*1.05</f>
        <v>1296.75</v>
      </c>
      <c r="M33" s="173">
        <f>ROUND(1176*1.05,0)</f>
        <v>1235</v>
      </c>
      <c r="N33" s="175">
        <f>ROUND(M33/1.2,2)</f>
        <v>1029.17</v>
      </c>
      <c r="O33" s="135"/>
      <c r="P33" s="136">
        <v>873.73</v>
      </c>
      <c r="Q33" s="16">
        <v>1001</v>
      </c>
    </row>
    <row r="34" spans="1:17" ht="75">
      <c r="A34" s="499"/>
      <c r="B34" s="267"/>
      <c r="C34" s="204" t="s">
        <v>83</v>
      </c>
      <c r="D34" s="99" t="s">
        <v>78</v>
      </c>
      <c r="E34" s="555"/>
      <c r="F34" s="486"/>
      <c r="G34" s="132">
        <v>11.29</v>
      </c>
      <c r="H34" s="104">
        <v>1606</v>
      </c>
      <c r="I34" s="105">
        <v>12</v>
      </c>
      <c r="J34" s="176">
        <f>M34*1.3</f>
        <v>1605.5</v>
      </c>
      <c r="K34" s="3">
        <f>J34*0.95</f>
        <v>1525.2249999999999</v>
      </c>
      <c r="L34" s="31">
        <f>M34*1.05</f>
        <v>1296.75</v>
      </c>
      <c r="M34" s="3">
        <f>ROUND(1176*1.05,0)</f>
        <v>1235</v>
      </c>
      <c r="N34" s="177">
        <f>ROUND(M34/1.2,2)</f>
        <v>1029.17</v>
      </c>
      <c r="O34" s="135"/>
      <c r="P34" s="136">
        <v>873.73</v>
      </c>
      <c r="Q34" s="16">
        <v>1001</v>
      </c>
    </row>
    <row r="35" spans="1:17" ht="45">
      <c r="A35" s="499"/>
      <c r="B35" s="296"/>
      <c r="C35" s="204" t="s">
        <v>84</v>
      </c>
      <c r="D35" s="17" t="s">
        <v>78</v>
      </c>
      <c r="E35" s="555"/>
      <c r="F35" s="486"/>
      <c r="G35" s="132">
        <v>11.29</v>
      </c>
      <c r="H35" s="104">
        <v>1606</v>
      </c>
      <c r="I35" s="105">
        <v>12</v>
      </c>
      <c r="J35" s="176">
        <f>M35*1.3</f>
        <v>1605.5</v>
      </c>
      <c r="K35" s="3">
        <f>J35*0.95</f>
        <v>1525.2249999999999</v>
      </c>
      <c r="L35" s="31">
        <f>M35*1.05</f>
        <v>1296.75</v>
      </c>
      <c r="M35" s="3">
        <f>ROUND(1176*1.05,0)</f>
        <v>1235</v>
      </c>
      <c r="N35" s="177">
        <f>ROUND(M35/1.2,2)</f>
        <v>1029.17</v>
      </c>
      <c r="O35" s="135"/>
      <c r="P35" s="136">
        <v>873.73</v>
      </c>
      <c r="Q35" s="16">
        <v>1001</v>
      </c>
    </row>
    <row r="36" spans="1:17" ht="45.75" thickBot="1">
      <c r="A36" s="500"/>
      <c r="B36" s="408"/>
      <c r="C36" s="334" t="s">
        <v>70</v>
      </c>
      <c r="D36" s="106" t="s">
        <v>78</v>
      </c>
      <c r="E36" s="556"/>
      <c r="F36" s="487"/>
      <c r="G36" s="133">
        <v>11.29</v>
      </c>
      <c r="H36" s="107">
        <v>1606</v>
      </c>
      <c r="I36" s="108">
        <v>12</v>
      </c>
      <c r="J36" s="178">
        <f>M36*1.3</f>
        <v>1605.5</v>
      </c>
      <c r="K36" s="4">
        <f>J36*0.95</f>
        <v>1525.2249999999999</v>
      </c>
      <c r="L36" s="179">
        <f>M36*1.05</f>
        <v>1296.75</v>
      </c>
      <c r="M36" s="4">
        <f>ROUND(1176*1.05,0)</f>
        <v>1235</v>
      </c>
      <c r="N36" s="180">
        <f>ROUND(M36/1.2,2)</f>
        <v>1029.17</v>
      </c>
      <c r="O36" s="135"/>
      <c r="P36" s="136">
        <v>873.73</v>
      </c>
      <c r="Q36" s="16">
        <v>1001</v>
      </c>
    </row>
    <row r="37" spans="1:17" ht="15.75" thickBot="1">
      <c r="A37" s="469" t="s">
        <v>62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1"/>
      <c r="O37" s="135"/>
      <c r="P37" s="136">
        <v>0</v>
      </c>
      <c r="Q37" s="18"/>
    </row>
    <row r="38" spans="1:17" ht="19.5" thickBot="1">
      <c r="A38" s="512">
        <v>5</v>
      </c>
      <c r="B38" s="412"/>
      <c r="C38" s="312" t="s">
        <v>6</v>
      </c>
      <c r="D38" s="83"/>
      <c r="E38" s="554" t="s">
        <v>67</v>
      </c>
      <c r="F38" s="472">
        <v>60</v>
      </c>
      <c r="G38" s="332">
        <v>11.52</v>
      </c>
      <c r="H38" s="315">
        <v>1635</v>
      </c>
      <c r="I38" s="316">
        <v>12</v>
      </c>
      <c r="J38" s="85">
        <f>M38*1.15</f>
        <v>871.69999999999993</v>
      </c>
      <c r="K38" s="86">
        <f>J38*0.97</f>
        <v>845.54899999999986</v>
      </c>
      <c r="L38" s="74">
        <f>M38*1.03</f>
        <v>780.74</v>
      </c>
      <c r="M38" s="86">
        <f>ROUND(722*1.05,0)</f>
        <v>758</v>
      </c>
      <c r="N38" s="87">
        <f>ROUND(M38/1.2,2)</f>
        <v>631.66999999999996</v>
      </c>
      <c r="O38" s="135"/>
      <c r="P38" s="136">
        <v>501.69</v>
      </c>
      <c r="Q38" s="19">
        <v>564</v>
      </c>
    </row>
    <row r="39" spans="1:17" ht="75">
      <c r="A39" s="514"/>
      <c r="B39" s="410"/>
      <c r="C39" s="206" t="s">
        <v>69</v>
      </c>
      <c r="D39" s="193" t="s">
        <v>78</v>
      </c>
      <c r="E39" s="555"/>
      <c r="F39" s="459"/>
      <c r="G39" s="319">
        <v>11.52</v>
      </c>
      <c r="H39" s="199">
        <v>1635</v>
      </c>
      <c r="I39" s="200">
        <v>12</v>
      </c>
      <c r="J39" s="172">
        <f>M39*1.3</f>
        <v>1605.5</v>
      </c>
      <c r="K39" s="173">
        <f>J39*0.95</f>
        <v>1525.2249999999999</v>
      </c>
      <c r="L39" s="174">
        <f>M39*1.05</f>
        <v>1296.75</v>
      </c>
      <c r="M39" s="173">
        <f>ROUND(1176*1.05,0)</f>
        <v>1235</v>
      </c>
      <c r="N39" s="175">
        <f t="shared" ref="N39:N110" si="0">ROUND(M39/1.2,2)</f>
        <v>1029.17</v>
      </c>
      <c r="O39" s="135"/>
      <c r="P39" s="136">
        <v>873.73</v>
      </c>
      <c r="Q39" s="16">
        <v>1001</v>
      </c>
    </row>
    <row r="40" spans="1:17" ht="75.75" thickBot="1">
      <c r="A40" s="515"/>
      <c r="B40" s="411"/>
      <c r="C40" s="334" t="s">
        <v>88</v>
      </c>
      <c r="D40" s="106" t="s">
        <v>78</v>
      </c>
      <c r="E40" s="556"/>
      <c r="F40" s="460"/>
      <c r="G40" s="133">
        <v>11.52</v>
      </c>
      <c r="H40" s="107">
        <v>1635</v>
      </c>
      <c r="I40" s="108">
        <v>12</v>
      </c>
      <c r="J40" s="178">
        <f>M40*1.3</f>
        <v>1605.5</v>
      </c>
      <c r="K40" s="4">
        <f>J40*0.95</f>
        <v>1525.2249999999999</v>
      </c>
      <c r="L40" s="179">
        <f>M40*1.05</f>
        <v>1296.75</v>
      </c>
      <c r="M40" s="4">
        <f>ROUND(1176*1.05,0)</f>
        <v>1235</v>
      </c>
      <c r="N40" s="180">
        <f t="shared" si="0"/>
        <v>1029.17</v>
      </c>
      <c r="O40" s="135"/>
      <c r="P40" s="136">
        <v>873.73</v>
      </c>
      <c r="Q40" s="16">
        <v>1001</v>
      </c>
    </row>
    <row r="41" spans="1:17" ht="15.75" thickBot="1">
      <c r="A41" s="469" t="s">
        <v>63</v>
      </c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1"/>
      <c r="O41" s="135"/>
      <c r="P41" s="136">
        <v>0</v>
      </c>
      <c r="Q41" s="20"/>
    </row>
    <row r="42" spans="1:17" ht="19.5" thickBot="1">
      <c r="A42" s="498">
        <v>6</v>
      </c>
      <c r="B42" s="413"/>
      <c r="C42" s="195" t="s">
        <v>6</v>
      </c>
      <c r="D42" s="357" t="s">
        <v>78</v>
      </c>
      <c r="E42" s="557" t="s">
        <v>60</v>
      </c>
      <c r="F42" s="564">
        <v>60</v>
      </c>
      <c r="G42" s="317">
        <v>12.96</v>
      </c>
      <c r="H42" s="313">
        <v>1850</v>
      </c>
      <c r="I42" s="314">
        <v>11</v>
      </c>
      <c r="J42" s="155">
        <f>M42*1.15</f>
        <v>871.69999999999993</v>
      </c>
      <c r="K42" s="228">
        <f>J42*0.97</f>
        <v>845.54899999999986</v>
      </c>
      <c r="L42" s="147">
        <f>M42*1.03</f>
        <v>780.74</v>
      </c>
      <c r="M42" s="228">
        <f>ROUND(722*1.05,0)</f>
        <v>758</v>
      </c>
      <c r="N42" s="182">
        <f t="shared" si="0"/>
        <v>631.66999999999996</v>
      </c>
      <c r="O42" s="135"/>
      <c r="P42" s="136">
        <v>501.69</v>
      </c>
      <c r="Q42" s="1">
        <v>564</v>
      </c>
    </row>
    <row r="43" spans="1:17" ht="19.5" thickBot="1">
      <c r="A43" s="499"/>
      <c r="B43" s="207"/>
      <c r="C43" s="195" t="s">
        <v>14</v>
      </c>
      <c r="D43" s="358" t="s">
        <v>78</v>
      </c>
      <c r="E43" s="558"/>
      <c r="F43" s="595"/>
      <c r="G43" s="317">
        <v>12.96</v>
      </c>
      <c r="H43" s="313">
        <v>1850</v>
      </c>
      <c r="I43" s="314">
        <v>11</v>
      </c>
      <c r="J43" s="155">
        <f>M43*1.15</f>
        <v>961.4</v>
      </c>
      <c r="K43" s="228">
        <f>J43*0.95</f>
        <v>913.32999999999993</v>
      </c>
      <c r="L43" s="147">
        <f>M43*1.04</f>
        <v>869.44</v>
      </c>
      <c r="M43" s="228">
        <f>ROUND(796*1.05,0)</f>
        <v>836</v>
      </c>
      <c r="N43" s="182">
        <f t="shared" si="0"/>
        <v>696.67</v>
      </c>
      <c r="O43" s="135"/>
      <c r="P43" s="136"/>
      <c r="Q43" s="71"/>
    </row>
    <row r="44" spans="1:17" ht="45">
      <c r="A44" s="499"/>
      <c r="B44" s="295"/>
      <c r="C44" s="171" t="s">
        <v>89</v>
      </c>
      <c r="D44" s="194" t="s">
        <v>78</v>
      </c>
      <c r="E44" s="558"/>
      <c r="F44" s="595"/>
      <c r="G44" s="201">
        <v>12.96</v>
      </c>
      <c r="H44" s="110">
        <v>1850</v>
      </c>
      <c r="I44" s="21">
        <v>11</v>
      </c>
      <c r="J44" s="172">
        <f>M44*1.3</f>
        <v>1605.5</v>
      </c>
      <c r="K44" s="173">
        <f>J44*0.95</f>
        <v>1525.2249999999999</v>
      </c>
      <c r="L44" s="174">
        <f>M44*1.05</f>
        <v>1296.75</v>
      </c>
      <c r="M44" s="173">
        <f>ROUND(1176*1.05,0)</f>
        <v>1235</v>
      </c>
      <c r="N44" s="175">
        <f t="shared" si="0"/>
        <v>1029.17</v>
      </c>
      <c r="O44" s="135"/>
      <c r="P44" s="136">
        <v>873.73</v>
      </c>
      <c r="Q44" s="3">
        <v>1001</v>
      </c>
    </row>
    <row r="45" spans="1:17" ht="45">
      <c r="A45" s="499"/>
      <c r="B45" s="226"/>
      <c r="C45" s="72" t="s">
        <v>90</v>
      </c>
      <c r="D45" s="22" t="s">
        <v>78</v>
      </c>
      <c r="E45" s="558"/>
      <c r="F45" s="595"/>
      <c r="G45" s="203">
        <v>12.96</v>
      </c>
      <c r="H45" s="23">
        <v>1850</v>
      </c>
      <c r="I45" s="24">
        <v>11</v>
      </c>
      <c r="J45" s="176">
        <f>M45*1.3</f>
        <v>1605.5</v>
      </c>
      <c r="K45" s="3">
        <f>J45*0.95</f>
        <v>1525.2249999999999</v>
      </c>
      <c r="L45" s="31">
        <f>M45*1.05</f>
        <v>1296.75</v>
      </c>
      <c r="M45" s="3">
        <f>ROUND(1176*1.05,0)</f>
        <v>1235</v>
      </c>
      <c r="N45" s="177">
        <f>ROUND(M45/1.2,2)</f>
        <v>1029.17</v>
      </c>
      <c r="O45" s="135"/>
      <c r="P45" s="136">
        <v>873.73</v>
      </c>
      <c r="Q45" s="3">
        <v>1001</v>
      </c>
    </row>
    <row r="46" spans="1:17" ht="45">
      <c r="A46" s="499"/>
      <c r="B46" s="415"/>
      <c r="C46" s="72" t="s">
        <v>131</v>
      </c>
      <c r="D46" s="194"/>
      <c r="E46" s="558"/>
      <c r="F46" s="595"/>
      <c r="G46" s="203">
        <v>12.96</v>
      </c>
      <c r="H46" s="23">
        <v>1850</v>
      </c>
      <c r="I46" s="24">
        <v>11</v>
      </c>
      <c r="J46" s="176">
        <f>M46*1.3</f>
        <v>1605.5</v>
      </c>
      <c r="K46" s="3">
        <f>J46*0.95</f>
        <v>1525.2249999999999</v>
      </c>
      <c r="L46" s="31">
        <f>M46*1.05</f>
        <v>1296.75</v>
      </c>
      <c r="M46" s="3">
        <f>ROUND(1176*1.05,0)</f>
        <v>1235</v>
      </c>
      <c r="N46" s="177">
        <f>ROUND(M46/1.2,2)</f>
        <v>1029.17</v>
      </c>
      <c r="O46" s="135"/>
      <c r="P46" s="136">
        <v>873.73</v>
      </c>
      <c r="Q46" s="3">
        <v>1001</v>
      </c>
    </row>
    <row r="47" spans="1:17" ht="45.75" thickBot="1">
      <c r="A47" s="500"/>
      <c r="B47" s="414"/>
      <c r="C47" s="73" t="s">
        <v>85</v>
      </c>
      <c r="D47" s="194" t="s">
        <v>78</v>
      </c>
      <c r="E47" s="559"/>
      <c r="F47" s="565"/>
      <c r="G47" s="202">
        <v>12.96</v>
      </c>
      <c r="H47" s="26">
        <v>1850</v>
      </c>
      <c r="I47" s="27">
        <v>11</v>
      </c>
      <c r="J47" s="178">
        <f>M47*1.3</f>
        <v>1605.5</v>
      </c>
      <c r="K47" s="4">
        <f>J47*0.95</f>
        <v>1525.2249999999999</v>
      </c>
      <c r="L47" s="179">
        <f>M47*1.05</f>
        <v>1296.75</v>
      </c>
      <c r="M47" s="4">
        <f>ROUND(1176*1.05,0)</f>
        <v>1235</v>
      </c>
      <c r="N47" s="180">
        <f>ROUND(M47/1.2,2)</f>
        <v>1029.17</v>
      </c>
      <c r="O47" s="135"/>
      <c r="P47" s="136">
        <v>873.73</v>
      </c>
      <c r="Q47" s="3">
        <v>1001</v>
      </c>
    </row>
    <row r="48" spans="1:17" ht="15.75" thickBot="1">
      <c r="A48" s="469" t="s">
        <v>71</v>
      </c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1"/>
      <c r="O48" s="135"/>
      <c r="P48" s="136">
        <v>0</v>
      </c>
      <c r="Q48" s="18"/>
    </row>
    <row r="49" spans="1:17" ht="45">
      <c r="A49" s="498">
        <v>7</v>
      </c>
      <c r="B49" s="320"/>
      <c r="C49" s="28" t="s">
        <v>90</v>
      </c>
      <c r="D49" s="29"/>
      <c r="E49" s="560" t="s">
        <v>127</v>
      </c>
      <c r="F49" s="564">
        <v>60</v>
      </c>
      <c r="G49" s="201">
        <v>12.7</v>
      </c>
      <c r="H49" s="110">
        <v>1770</v>
      </c>
      <c r="I49" s="30">
        <v>11</v>
      </c>
      <c r="J49" s="172">
        <f>M49*1.3</f>
        <v>1605.5</v>
      </c>
      <c r="K49" s="173">
        <f>J49*0.95</f>
        <v>1525.2249999999999</v>
      </c>
      <c r="L49" s="174">
        <f>M49*1.05</f>
        <v>1296.75</v>
      </c>
      <c r="M49" s="173">
        <f>ROUND(1176*1.05,0)</f>
        <v>1235</v>
      </c>
      <c r="N49" s="175">
        <f t="shared" si="0"/>
        <v>1029.17</v>
      </c>
      <c r="O49" s="135"/>
      <c r="P49" s="136">
        <v>873.73</v>
      </c>
      <c r="Q49" s="31">
        <v>1001</v>
      </c>
    </row>
    <row r="50" spans="1:17" ht="60.75" thickBot="1">
      <c r="A50" s="500"/>
      <c r="B50" s="416"/>
      <c r="C50" s="25" t="s">
        <v>91</v>
      </c>
      <c r="D50" s="32"/>
      <c r="E50" s="561"/>
      <c r="F50" s="565"/>
      <c r="G50" s="202">
        <v>12.7</v>
      </c>
      <c r="H50" s="26">
        <v>1770</v>
      </c>
      <c r="I50" s="33">
        <v>11</v>
      </c>
      <c r="J50" s="178">
        <f>M50*1.3</f>
        <v>1605.5</v>
      </c>
      <c r="K50" s="4">
        <f>J50*0.95</f>
        <v>1525.2249999999999</v>
      </c>
      <c r="L50" s="179">
        <f>M50*1.05</f>
        <v>1296.75</v>
      </c>
      <c r="M50" s="4">
        <f>ROUND(1176*1.05,0)</f>
        <v>1235</v>
      </c>
      <c r="N50" s="180">
        <f t="shared" si="0"/>
        <v>1029.17</v>
      </c>
      <c r="O50" s="135"/>
      <c r="P50" s="136">
        <v>873.73</v>
      </c>
      <c r="Q50" s="34">
        <v>1001</v>
      </c>
    </row>
    <row r="51" spans="1:17" ht="15.75" thickBot="1">
      <c r="A51" s="469" t="s">
        <v>110</v>
      </c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1"/>
      <c r="O51" s="135"/>
      <c r="P51" s="136">
        <v>0</v>
      </c>
      <c r="Q51" s="15"/>
    </row>
    <row r="52" spans="1:17" ht="19.5" thickBot="1">
      <c r="A52" s="498">
        <v>8</v>
      </c>
      <c r="B52" s="417"/>
      <c r="C52" s="274" t="s">
        <v>6</v>
      </c>
      <c r="D52" s="326"/>
      <c r="E52" s="618" t="s">
        <v>135</v>
      </c>
      <c r="F52" s="619">
        <v>80</v>
      </c>
      <c r="G52" s="317">
        <v>10.8</v>
      </c>
      <c r="H52" s="313">
        <v>2024</v>
      </c>
      <c r="I52" s="314">
        <v>10</v>
      </c>
      <c r="J52" s="85">
        <f>M52*1.15</f>
        <v>1285.6999999999998</v>
      </c>
      <c r="K52" s="86">
        <f>J52*0.97</f>
        <v>1247.1289999999997</v>
      </c>
      <c r="L52" s="74">
        <f>M52*1.03</f>
        <v>1151.54</v>
      </c>
      <c r="M52" s="86">
        <f>ROUND(1065*1.05,0)</f>
        <v>1118</v>
      </c>
      <c r="N52" s="87">
        <f t="shared" si="0"/>
        <v>931.67</v>
      </c>
      <c r="O52" s="135"/>
      <c r="P52" s="136">
        <v>738.98</v>
      </c>
      <c r="Q52" s="1">
        <v>830</v>
      </c>
    </row>
    <row r="53" spans="1:17" ht="19.5" thickBot="1">
      <c r="A53" s="499"/>
      <c r="B53" s="420"/>
      <c r="C53" s="274" t="s">
        <v>14</v>
      </c>
      <c r="D53" s="326"/>
      <c r="E53" s="562"/>
      <c r="F53" s="620"/>
      <c r="G53" s="317">
        <v>10.8</v>
      </c>
      <c r="H53" s="313">
        <v>2024</v>
      </c>
      <c r="I53" s="314">
        <v>10</v>
      </c>
      <c r="J53" s="93">
        <f>M53*1.15</f>
        <v>1424.85</v>
      </c>
      <c r="K53" s="230">
        <f>J53*0.95</f>
        <v>1353.6074999999998</v>
      </c>
      <c r="L53" s="94">
        <f>M53*1.04</f>
        <v>1288.56</v>
      </c>
      <c r="M53" s="230">
        <f>ROUND(1180*1.05,0)</f>
        <v>1239</v>
      </c>
      <c r="N53" s="95">
        <f t="shared" si="0"/>
        <v>1032.5</v>
      </c>
      <c r="O53" s="135"/>
      <c r="P53" s="136">
        <v>818.64</v>
      </c>
      <c r="Q53" s="2">
        <v>920</v>
      </c>
    </row>
    <row r="54" spans="1:17" ht="45">
      <c r="A54" s="499"/>
      <c r="B54" s="418"/>
      <c r="C54" s="170" t="s">
        <v>85</v>
      </c>
      <c r="D54" s="183"/>
      <c r="E54" s="562"/>
      <c r="F54" s="620"/>
      <c r="G54" s="323">
        <v>10.8</v>
      </c>
      <c r="H54" s="324">
        <v>2024</v>
      </c>
      <c r="I54" s="325">
        <v>10</v>
      </c>
      <c r="J54" s="172">
        <f>M54*1.3</f>
        <v>1765.4</v>
      </c>
      <c r="K54" s="173">
        <f>J54*0.95</f>
        <v>1677.13</v>
      </c>
      <c r="L54" s="174">
        <f>M54*1.05</f>
        <v>1425.9</v>
      </c>
      <c r="M54" s="173">
        <f>ROUND(1293*1.05,0)</f>
        <v>1358</v>
      </c>
      <c r="N54" s="175">
        <f t="shared" si="0"/>
        <v>1131.67</v>
      </c>
      <c r="O54" s="135"/>
      <c r="P54" s="136">
        <v>960.17</v>
      </c>
      <c r="Q54" s="3">
        <v>1100</v>
      </c>
    </row>
    <row r="55" spans="1:17" ht="60">
      <c r="A55" s="499"/>
      <c r="B55" s="188"/>
      <c r="C55" s="72" t="s">
        <v>111</v>
      </c>
      <c r="D55" s="184"/>
      <c r="E55" s="562"/>
      <c r="F55" s="620"/>
      <c r="G55" s="203">
        <v>10.8</v>
      </c>
      <c r="H55" s="23">
        <v>2024</v>
      </c>
      <c r="I55" s="35">
        <v>10</v>
      </c>
      <c r="J55" s="176">
        <f t="shared" ref="J55:J62" si="1">M55*1.3</f>
        <v>1765.4</v>
      </c>
      <c r="K55" s="3">
        <f t="shared" ref="K55:K62" si="2">J55*0.95</f>
        <v>1677.13</v>
      </c>
      <c r="L55" s="31">
        <f t="shared" ref="L55:L62" si="3">M55*1.05</f>
        <v>1425.9</v>
      </c>
      <c r="M55" s="3">
        <f t="shared" ref="M55:M60" si="4">ROUND(1293*1.05,0)</f>
        <v>1358</v>
      </c>
      <c r="N55" s="177">
        <f t="shared" si="0"/>
        <v>1131.67</v>
      </c>
      <c r="O55" s="135"/>
      <c r="P55" s="136">
        <v>960.17</v>
      </c>
      <c r="Q55" s="3">
        <v>1100</v>
      </c>
    </row>
    <row r="56" spans="1:17" ht="45">
      <c r="A56" s="499"/>
      <c r="B56" s="188"/>
      <c r="C56" s="72" t="s">
        <v>107</v>
      </c>
      <c r="D56" s="184"/>
      <c r="E56" s="562" t="s">
        <v>136</v>
      </c>
      <c r="F56" s="620"/>
      <c r="G56" s="203">
        <v>10.8</v>
      </c>
      <c r="H56" s="23">
        <v>2024</v>
      </c>
      <c r="I56" s="35">
        <v>10</v>
      </c>
      <c r="J56" s="176">
        <f t="shared" si="1"/>
        <v>1765.4</v>
      </c>
      <c r="K56" s="3">
        <f t="shared" si="2"/>
        <v>1677.13</v>
      </c>
      <c r="L56" s="31">
        <f t="shared" si="3"/>
        <v>1425.9</v>
      </c>
      <c r="M56" s="3">
        <f t="shared" si="4"/>
        <v>1358</v>
      </c>
      <c r="N56" s="177">
        <f t="shared" si="0"/>
        <v>1131.67</v>
      </c>
      <c r="O56" s="135"/>
      <c r="P56" s="136">
        <v>960.17</v>
      </c>
      <c r="Q56" s="3">
        <v>1100</v>
      </c>
    </row>
    <row r="57" spans="1:17" ht="45">
      <c r="A57" s="499"/>
      <c r="B57" s="188"/>
      <c r="C57" s="72" t="s">
        <v>96</v>
      </c>
      <c r="D57" s="184"/>
      <c r="E57" s="562"/>
      <c r="F57" s="620"/>
      <c r="G57" s="203">
        <v>10.8</v>
      </c>
      <c r="H57" s="23">
        <v>2024</v>
      </c>
      <c r="I57" s="35">
        <v>10</v>
      </c>
      <c r="J57" s="176">
        <f t="shared" si="1"/>
        <v>1765.4</v>
      </c>
      <c r="K57" s="3">
        <f t="shared" si="2"/>
        <v>1677.13</v>
      </c>
      <c r="L57" s="31">
        <f t="shared" si="3"/>
        <v>1425.9</v>
      </c>
      <c r="M57" s="3">
        <f t="shared" si="4"/>
        <v>1358</v>
      </c>
      <c r="N57" s="177">
        <f t="shared" si="0"/>
        <v>1131.67</v>
      </c>
      <c r="O57" s="135"/>
      <c r="P57" s="136">
        <v>960.17</v>
      </c>
      <c r="Q57" s="3">
        <v>1100</v>
      </c>
    </row>
    <row r="58" spans="1:17" ht="45">
      <c r="A58" s="499"/>
      <c r="B58" s="188"/>
      <c r="C58" s="72" t="s">
        <v>131</v>
      </c>
      <c r="D58" s="194" t="s">
        <v>78</v>
      </c>
      <c r="E58" s="562"/>
      <c r="F58" s="620"/>
      <c r="G58" s="203">
        <v>10.8</v>
      </c>
      <c r="H58" s="23">
        <v>2024</v>
      </c>
      <c r="I58" s="35">
        <v>10</v>
      </c>
      <c r="J58" s="176">
        <f t="shared" si="1"/>
        <v>1765.4</v>
      </c>
      <c r="K58" s="3">
        <f t="shared" si="2"/>
        <v>1677.13</v>
      </c>
      <c r="L58" s="31">
        <f t="shared" si="3"/>
        <v>1425.9</v>
      </c>
      <c r="M58" s="3">
        <f t="shared" si="4"/>
        <v>1358</v>
      </c>
      <c r="N58" s="177">
        <f t="shared" si="0"/>
        <v>1131.67</v>
      </c>
      <c r="O58" s="135"/>
      <c r="P58" s="136">
        <v>960.17</v>
      </c>
      <c r="Q58" s="3">
        <v>1100</v>
      </c>
    </row>
    <row r="59" spans="1:17" ht="60">
      <c r="A59" s="499"/>
      <c r="B59" s="419"/>
      <c r="C59" s="72" t="s">
        <v>95</v>
      </c>
      <c r="D59" s="184"/>
      <c r="E59" s="562"/>
      <c r="F59" s="620"/>
      <c r="G59" s="203">
        <v>10.8</v>
      </c>
      <c r="H59" s="23">
        <v>2024</v>
      </c>
      <c r="I59" s="35">
        <v>10</v>
      </c>
      <c r="J59" s="176">
        <f t="shared" si="1"/>
        <v>1765.4</v>
      </c>
      <c r="K59" s="3">
        <f t="shared" si="2"/>
        <v>1677.13</v>
      </c>
      <c r="L59" s="31">
        <f t="shared" si="3"/>
        <v>1425.9</v>
      </c>
      <c r="M59" s="3">
        <f t="shared" si="4"/>
        <v>1358</v>
      </c>
      <c r="N59" s="177">
        <f t="shared" si="0"/>
        <v>1131.67</v>
      </c>
      <c r="O59" s="135"/>
      <c r="P59" s="136">
        <v>960.17</v>
      </c>
      <c r="Q59" s="3">
        <v>1100</v>
      </c>
    </row>
    <row r="60" spans="1:17" ht="45.75" thickBot="1">
      <c r="A60" s="499"/>
      <c r="B60" s="186"/>
      <c r="C60" s="73" t="s">
        <v>90</v>
      </c>
      <c r="D60" s="187"/>
      <c r="E60" s="562" t="s">
        <v>137</v>
      </c>
      <c r="F60" s="620"/>
      <c r="G60" s="202">
        <v>10.8</v>
      </c>
      <c r="H60" s="26">
        <v>2024</v>
      </c>
      <c r="I60" s="33">
        <v>10</v>
      </c>
      <c r="J60" s="178">
        <f t="shared" si="1"/>
        <v>1765.4</v>
      </c>
      <c r="K60" s="4">
        <f t="shared" si="2"/>
        <v>1677.13</v>
      </c>
      <c r="L60" s="179">
        <f t="shared" si="3"/>
        <v>1425.9</v>
      </c>
      <c r="M60" s="4">
        <f t="shared" si="4"/>
        <v>1358</v>
      </c>
      <c r="N60" s="180">
        <f t="shared" si="0"/>
        <v>1131.67</v>
      </c>
      <c r="O60" s="135"/>
      <c r="P60" s="136">
        <v>960.17</v>
      </c>
      <c r="Q60" s="3">
        <v>1100</v>
      </c>
    </row>
    <row r="61" spans="1:17" ht="45.75" thickBot="1">
      <c r="A61" s="499"/>
      <c r="B61" s="421"/>
      <c r="C61" s="189" t="s">
        <v>105</v>
      </c>
      <c r="D61" s="190"/>
      <c r="E61" s="562"/>
      <c r="F61" s="620"/>
      <c r="G61" s="323">
        <v>10.8</v>
      </c>
      <c r="H61" s="324">
        <v>2024</v>
      </c>
      <c r="I61" s="325">
        <v>10</v>
      </c>
      <c r="J61" s="172">
        <f>M61*1.3</f>
        <v>1948.7</v>
      </c>
      <c r="K61" s="173">
        <f>J61*0.95</f>
        <v>1851.2649999999999</v>
      </c>
      <c r="L61" s="174">
        <f>M61*1.05</f>
        <v>1573.95</v>
      </c>
      <c r="M61" s="173">
        <v>1499</v>
      </c>
      <c r="N61" s="175">
        <f>ROUND(M61/1.2,2)</f>
        <v>1249.17</v>
      </c>
      <c r="O61" s="135"/>
      <c r="P61" s="136"/>
      <c r="Q61" s="4">
        <v>1100</v>
      </c>
    </row>
    <row r="62" spans="1:17" ht="45.75" thickBot="1">
      <c r="A62" s="500"/>
      <c r="B62" s="422"/>
      <c r="C62" s="191" t="s">
        <v>106</v>
      </c>
      <c r="D62" s="154"/>
      <c r="E62" s="563"/>
      <c r="F62" s="621"/>
      <c r="G62" s="202">
        <v>10.8</v>
      </c>
      <c r="H62" s="26">
        <v>2024</v>
      </c>
      <c r="I62" s="33">
        <v>10</v>
      </c>
      <c r="J62" s="178">
        <f t="shared" si="1"/>
        <v>1948.7</v>
      </c>
      <c r="K62" s="4">
        <f t="shared" si="2"/>
        <v>1851.2649999999999</v>
      </c>
      <c r="L62" s="179">
        <f t="shared" si="3"/>
        <v>1573.95</v>
      </c>
      <c r="M62" s="4">
        <v>1499</v>
      </c>
      <c r="N62" s="180">
        <f t="shared" si="0"/>
        <v>1249.17</v>
      </c>
      <c r="O62" s="135"/>
      <c r="P62" s="136">
        <v>960.17</v>
      </c>
      <c r="Q62" s="4">
        <v>1100</v>
      </c>
    </row>
    <row r="63" spans="1:17" ht="15.75" thickBot="1">
      <c r="A63" s="469" t="s">
        <v>36</v>
      </c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1"/>
      <c r="O63" s="135"/>
      <c r="P63" s="136">
        <v>0</v>
      </c>
      <c r="Q63" s="36"/>
    </row>
    <row r="64" spans="1:17" ht="19.5" thickBot="1">
      <c r="A64" s="163">
        <v>9</v>
      </c>
      <c r="B64" s="423"/>
      <c r="C64" s="208" t="s">
        <v>6</v>
      </c>
      <c r="D64" s="37" t="s">
        <v>78</v>
      </c>
      <c r="E64" s="322" t="s">
        <v>128</v>
      </c>
      <c r="F64" s="327">
        <v>80</v>
      </c>
      <c r="G64" s="130">
        <v>10</v>
      </c>
      <c r="H64" s="111">
        <v>1506</v>
      </c>
      <c r="I64" s="112">
        <v>13</v>
      </c>
      <c r="J64" s="85">
        <f>ROUND(M64+M64*R64,0)</f>
        <v>793</v>
      </c>
      <c r="K64" s="86">
        <f>J64*0.97</f>
        <v>769.20999999999992</v>
      </c>
      <c r="L64" s="74">
        <f>M64*1.03</f>
        <v>816.79000000000008</v>
      </c>
      <c r="M64" s="86">
        <f>ROUND(755*1.05,0)</f>
        <v>793</v>
      </c>
      <c r="N64" s="87">
        <f t="shared" si="0"/>
        <v>660.83</v>
      </c>
      <c r="O64" s="135"/>
      <c r="P64" s="136">
        <v>523.73</v>
      </c>
      <c r="Q64" s="12">
        <v>589</v>
      </c>
    </row>
    <row r="65" spans="1:17" ht="15.75" thickBot="1">
      <c r="A65" s="469" t="s">
        <v>4</v>
      </c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1"/>
      <c r="O65" s="135"/>
      <c r="P65" s="136">
        <v>0</v>
      </c>
      <c r="Q65" s="36"/>
    </row>
    <row r="66" spans="1:17">
      <c r="A66" s="551">
        <v>10</v>
      </c>
      <c r="B66" s="549"/>
      <c r="C66" s="464" t="s">
        <v>6</v>
      </c>
      <c r="D66" s="622" t="s">
        <v>78</v>
      </c>
      <c r="E66" s="576" t="s">
        <v>21</v>
      </c>
      <c r="F66" s="320">
        <v>60</v>
      </c>
      <c r="G66" s="256">
        <v>12.9</v>
      </c>
      <c r="H66" s="237">
        <v>1777</v>
      </c>
      <c r="I66" s="113">
        <v>11</v>
      </c>
      <c r="J66" s="172">
        <f t="shared" ref="J66:J99" si="5">ROUND(M66+M66*R66,0)</f>
        <v>683</v>
      </c>
      <c r="K66" s="173">
        <f t="shared" ref="K66:K73" si="6">ROUND(J66-(J66*S66),0)</f>
        <v>683</v>
      </c>
      <c r="L66" s="174">
        <f>M66*1.03</f>
        <v>703.49</v>
      </c>
      <c r="M66" s="173">
        <f>ROUND(650*1.05,0)</f>
        <v>683</v>
      </c>
      <c r="N66" s="175">
        <f t="shared" si="0"/>
        <v>569.16999999999996</v>
      </c>
      <c r="O66" s="135"/>
      <c r="P66" s="136">
        <v>450.85</v>
      </c>
      <c r="Q66" s="38">
        <v>507</v>
      </c>
    </row>
    <row r="67" spans="1:17" ht="15.75" thickBot="1">
      <c r="A67" s="552"/>
      <c r="B67" s="550"/>
      <c r="C67" s="466"/>
      <c r="D67" s="623"/>
      <c r="E67" s="577"/>
      <c r="F67" s="331">
        <v>80</v>
      </c>
      <c r="G67" s="328">
        <v>10.75</v>
      </c>
      <c r="H67" s="161">
        <v>1973</v>
      </c>
      <c r="I67" s="210">
        <v>10</v>
      </c>
      <c r="J67" s="178">
        <f t="shared" si="5"/>
        <v>793</v>
      </c>
      <c r="K67" s="4">
        <f t="shared" si="6"/>
        <v>793</v>
      </c>
      <c r="L67" s="179">
        <f>M67*1.03</f>
        <v>816.79000000000008</v>
      </c>
      <c r="M67" s="4">
        <f>ROUND(755*1.05,0)</f>
        <v>793</v>
      </c>
      <c r="N67" s="180">
        <f t="shared" si="0"/>
        <v>660.83</v>
      </c>
      <c r="O67" s="135"/>
      <c r="P67" s="136">
        <v>523.73</v>
      </c>
      <c r="Q67" s="39">
        <v>589</v>
      </c>
    </row>
    <row r="68" spans="1:17">
      <c r="A68" s="552"/>
      <c r="B68" s="580"/>
      <c r="C68" s="467" t="s">
        <v>14</v>
      </c>
      <c r="D68" s="622" t="s">
        <v>78</v>
      </c>
      <c r="E68" s="578"/>
      <c r="F68" s="320">
        <v>60</v>
      </c>
      <c r="G68" s="256">
        <v>12.9</v>
      </c>
      <c r="H68" s="237">
        <v>1777</v>
      </c>
      <c r="I68" s="113">
        <v>11</v>
      </c>
      <c r="J68" s="172">
        <f>ROUND(M68+M68*R68,0)</f>
        <v>758</v>
      </c>
      <c r="K68" s="173">
        <f t="shared" si="6"/>
        <v>758</v>
      </c>
      <c r="L68" s="174">
        <f t="shared" ref="L68:L73" si="7">M68*1.04</f>
        <v>788.32</v>
      </c>
      <c r="M68" s="173">
        <f>ROUND(722*1.05,0)</f>
        <v>758</v>
      </c>
      <c r="N68" s="175">
        <f t="shared" si="0"/>
        <v>631.66999999999996</v>
      </c>
      <c r="O68" s="135"/>
      <c r="P68" s="136">
        <v>501.69</v>
      </c>
      <c r="Q68" s="16">
        <v>564</v>
      </c>
    </row>
    <row r="69" spans="1:17" ht="15.75" thickBot="1">
      <c r="A69" s="552"/>
      <c r="B69" s="581"/>
      <c r="C69" s="468"/>
      <c r="D69" s="623"/>
      <c r="E69" s="579"/>
      <c r="F69" s="321">
        <v>80</v>
      </c>
      <c r="G69" s="257">
        <v>10.75</v>
      </c>
      <c r="H69" s="239">
        <v>1973</v>
      </c>
      <c r="I69" s="41">
        <v>10</v>
      </c>
      <c r="J69" s="178">
        <f t="shared" si="5"/>
        <v>910</v>
      </c>
      <c r="K69" s="4">
        <f t="shared" si="6"/>
        <v>910</v>
      </c>
      <c r="L69" s="179">
        <f t="shared" si="7"/>
        <v>946.4</v>
      </c>
      <c r="M69" s="4">
        <f>ROUND(867*1.05,0)</f>
        <v>910</v>
      </c>
      <c r="N69" s="180">
        <f t="shared" si="0"/>
        <v>758.33</v>
      </c>
      <c r="O69" s="135"/>
      <c r="P69" s="136">
        <v>601.69000000000005</v>
      </c>
      <c r="Q69" s="40">
        <v>676</v>
      </c>
    </row>
    <row r="70" spans="1:17">
      <c r="A70" s="552"/>
      <c r="B70" s="547"/>
      <c r="C70" s="467" t="s">
        <v>44</v>
      </c>
      <c r="D70" s="622" t="s">
        <v>78</v>
      </c>
      <c r="E70" s="579"/>
      <c r="F70" s="363">
        <v>60</v>
      </c>
      <c r="G70" s="329">
        <v>12.9</v>
      </c>
      <c r="H70" s="294">
        <v>1777</v>
      </c>
      <c r="I70" s="211">
        <v>11</v>
      </c>
      <c r="J70" s="172">
        <f>ROUND(M70+M70*R70,0)</f>
        <v>758</v>
      </c>
      <c r="K70" s="173">
        <f t="shared" si="6"/>
        <v>758</v>
      </c>
      <c r="L70" s="174">
        <f t="shared" si="7"/>
        <v>788.32</v>
      </c>
      <c r="M70" s="173">
        <f>ROUND(722*1.05,0)</f>
        <v>758</v>
      </c>
      <c r="N70" s="175">
        <f>ROUND(M70/1.2,2)</f>
        <v>631.66999999999996</v>
      </c>
      <c r="O70" s="135"/>
      <c r="P70" s="136">
        <v>501.69</v>
      </c>
      <c r="Q70" s="16">
        <v>564</v>
      </c>
    </row>
    <row r="71" spans="1:17" ht="15.75" thickBot="1">
      <c r="A71" s="552"/>
      <c r="B71" s="548"/>
      <c r="C71" s="568"/>
      <c r="D71" s="623"/>
      <c r="E71" s="579"/>
      <c r="F71" s="331">
        <v>80</v>
      </c>
      <c r="G71" s="328">
        <v>10.75</v>
      </c>
      <c r="H71" s="161">
        <v>1973</v>
      </c>
      <c r="I71" s="210">
        <v>10</v>
      </c>
      <c r="J71" s="178">
        <f>ROUND(M71+M71*R71,0)</f>
        <v>910</v>
      </c>
      <c r="K71" s="4">
        <f t="shared" si="6"/>
        <v>910</v>
      </c>
      <c r="L71" s="179">
        <f t="shared" si="7"/>
        <v>946.4</v>
      </c>
      <c r="M71" s="4">
        <f>ROUND(867*1.05,0)</f>
        <v>910</v>
      </c>
      <c r="N71" s="180">
        <f>ROUND(M71/1.2,2)</f>
        <v>758.33</v>
      </c>
      <c r="O71" s="135"/>
      <c r="P71" s="136">
        <v>601.69000000000005</v>
      </c>
      <c r="Q71" s="40">
        <v>676</v>
      </c>
    </row>
    <row r="72" spans="1:17" ht="19.5" thickBot="1">
      <c r="A72" s="552"/>
      <c r="B72" s="337"/>
      <c r="C72" s="274" t="s">
        <v>15</v>
      </c>
      <c r="D72" s="37"/>
      <c r="E72" s="578"/>
      <c r="F72" s="322">
        <v>60</v>
      </c>
      <c r="G72" s="130">
        <v>12.9</v>
      </c>
      <c r="H72" s="111">
        <v>1777</v>
      </c>
      <c r="I72" s="192">
        <v>11</v>
      </c>
      <c r="J72" s="172">
        <f>ROUND(M72+M72*R72,0)</f>
        <v>758</v>
      </c>
      <c r="K72" s="173">
        <f t="shared" si="6"/>
        <v>758</v>
      </c>
      <c r="L72" s="174">
        <f t="shared" si="7"/>
        <v>788.32</v>
      </c>
      <c r="M72" s="173">
        <f>ROUND(722*1.05,0)</f>
        <v>758</v>
      </c>
      <c r="N72" s="175">
        <f>ROUND(M72/1.2,2)</f>
        <v>631.66999999999996</v>
      </c>
      <c r="O72" s="135"/>
      <c r="P72" s="136">
        <v>501.69</v>
      </c>
      <c r="Q72" s="16">
        <v>564</v>
      </c>
    </row>
    <row r="73" spans="1:17" ht="19.5" thickBot="1">
      <c r="A73" s="552"/>
      <c r="B73" s="336"/>
      <c r="C73" s="276" t="s">
        <v>132</v>
      </c>
      <c r="D73" s="205"/>
      <c r="E73" s="532"/>
      <c r="F73" s="322">
        <v>60</v>
      </c>
      <c r="G73" s="130">
        <v>12.9</v>
      </c>
      <c r="H73" s="111">
        <v>1777</v>
      </c>
      <c r="I73" s="192">
        <v>11</v>
      </c>
      <c r="J73" s="172">
        <f>ROUND(M73+M73*R73,0)</f>
        <v>758</v>
      </c>
      <c r="K73" s="173">
        <f t="shared" si="6"/>
        <v>758</v>
      </c>
      <c r="L73" s="174">
        <f t="shared" si="7"/>
        <v>788.32</v>
      </c>
      <c r="M73" s="173">
        <f>ROUND(722*1.05,0)</f>
        <v>758</v>
      </c>
      <c r="N73" s="175">
        <f>ROUND(M73/1.2,2)</f>
        <v>631.66999999999996</v>
      </c>
      <c r="O73" s="135"/>
      <c r="P73" s="136">
        <v>501.69</v>
      </c>
      <c r="Q73" s="16">
        <v>564</v>
      </c>
    </row>
    <row r="74" spans="1:17" ht="18.75">
      <c r="A74" s="552"/>
      <c r="B74" s="252"/>
      <c r="C74" s="624" t="s">
        <v>101</v>
      </c>
      <c r="D74" s="101" t="s">
        <v>78</v>
      </c>
      <c r="E74" s="554" t="s">
        <v>21</v>
      </c>
      <c r="F74" s="245">
        <v>60</v>
      </c>
      <c r="G74" s="330">
        <v>12.9</v>
      </c>
      <c r="H74" s="237">
        <v>1777</v>
      </c>
      <c r="I74" s="113">
        <v>11</v>
      </c>
      <c r="J74" s="172">
        <f t="shared" si="5"/>
        <v>1107</v>
      </c>
      <c r="K74" s="173">
        <f>J74*0.95</f>
        <v>1051.6499999999999</v>
      </c>
      <c r="L74" s="174">
        <f>M74*1.05</f>
        <v>1162.3500000000001</v>
      </c>
      <c r="M74" s="173">
        <f>ROUND(1054*1.05,0)</f>
        <v>1107</v>
      </c>
      <c r="N74" s="175">
        <f t="shared" si="0"/>
        <v>922.5</v>
      </c>
      <c r="O74" s="135"/>
      <c r="P74" s="136">
        <v>782.2</v>
      </c>
      <c r="Q74" s="43">
        <v>896</v>
      </c>
    </row>
    <row r="75" spans="1:17" ht="19.5" thickBot="1">
      <c r="A75" s="552"/>
      <c r="B75" s="209"/>
      <c r="C75" s="625"/>
      <c r="D75" s="154"/>
      <c r="E75" s="555"/>
      <c r="F75" s="246">
        <v>80</v>
      </c>
      <c r="G75" s="257">
        <v>10.75</v>
      </c>
      <c r="H75" s="239">
        <v>1973</v>
      </c>
      <c r="I75" s="149">
        <v>10</v>
      </c>
      <c r="J75" s="178">
        <f t="shared" si="5"/>
        <v>1244</v>
      </c>
      <c r="K75" s="4">
        <f t="shared" ref="K75:K99" si="8">J75*0.95</f>
        <v>1181.8</v>
      </c>
      <c r="L75" s="179">
        <f t="shared" ref="L75:L99" si="9">M75*1.05</f>
        <v>1306.2</v>
      </c>
      <c r="M75" s="4">
        <f>ROUND(1185*1.05,0)</f>
        <v>1244</v>
      </c>
      <c r="N75" s="180">
        <f t="shared" si="0"/>
        <v>1036.67</v>
      </c>
      <c r="O75" s="135"/>
      <c r="P75" s="136">
        <v>879.66</v>
      </c>
      <c r="Q75" s="44">
        <v>1008</v>
      </c>
    </row>
    <row r="76" spans="1:17" ht="18.75">
      <c r="A76" s="552"/>
      <c r="B76" s="252"/>
      <c r="C76" s="626" t="s">
        <v>102</v>
      </c>
      <c r="D76" s="101" t="s">
        <v>78</v>
      </c>
      <c r="E76" s="555"/>
      <c r="F76" s="245">
        <v>60</v>
      </c>
      <c r="G76" s="330">
        <v>12.9</v>
      </c>
      <c r="H76" s="237">
        <v>1777</v>
      </c>
      <c r="I76" s="113">
        <v>11</v>
      </c>
      <c r="J76" s="172">
        <f t="shared" si="5"/>
        <v>1107</v>
      </c>
      <c r="K76" s="173">
        <f t="shared" si="8"/>
        <v>1051.6499999999999</v>
      </c>
      <c r="L76" s="174">
        <f t="shared" si="9"/>
        <v>1162.3500000000001</v>
      </c>
      <c r="M76" s="173">
        <f>ROUND(1054*1.05,0)</f>
        <v>1107</v>
      </c>
      <c r="N76" s="175">
        <f t="shared" si="0"/>
        <v>922.5</v>
      </c>
      <c r="O76" s="135"/>
      <c r="P76" s="136">
        <v>782.2</v>
      </c>
      <c r="Q76" s="45">
        <v>896</v>
      </c>
    </row>
    <row r="77" spans="1:17" ht="19.5" thickBot="1">
      <c r="A77" s="552"/>
      <c r="B77" s="339"/>
      <c r="C77" s="627"/>
      <c r="D77" s="154"/>
      <c r="E77" s="555"/>
      <c r="F77" s="246">
        <v>80</v>
      </c>
      <c r="G77" s="257">
        <v>10.75</v>
      </c>
      <c r="H77" s="239">
        <v>1973</v>
      </c>
      <c r="I77" s="149">
        <v>10</v>
      </c>
      <c r="J77" s="178">
        <f t="shared" si="5"/>
        <v>1244</v>
      </c>
      <c r="K77" s="4">
        <f t="shared" si="8"/>
        <v>1181.8</v>
      </c>
      <c r="L77" s="179">
        <f t="shared" si="9"/>
        <v>1306.2</v>
      </c>
      <c r="M77" s="4">
        <f>ROUND(1185*1.05,0)</f>
        <v>1244</v>
      </c>
      <c r="N77" s="180">
        <f t="shared" si="0"/>
        <v>1036.67</v>
      </c>
      <c r="O77" s="135"/>
      <c r="P77" s="136">
        <v>879.66</v>
      </c>
      <c r="Q77" s="44">
        <v>1008</v>
      </c>
    </row>
    <row r="78" spans="1:17" ht="18.75">
      <c r="A78" s="552"/>
      <c r="B78" s="252"/>
      <c r="C78" s="624" t="s">
        <v>103</v>
      </c>
      <c r="D78" s="101" t="s">
        <v>78</v>
      </c>
      <c r="E78" s="555"/>
      <c r="F78" s="245">
        <v>60</v>
      </c>
      <c r="G78" s="256">
        <v>12.9</v>
      </c>
      <c r="H78" s="237">
        <v>1777</v>
      </c>
      <c r="I78" s="113">
        <v>11</v>
      </c>
      <c r="J78" s="172">
        <f t="shared" si="5"/>
        <v>1107</v>
      </c>
      <c r="K78" s="173">
        <f t="shared" si="8"/>
        <v>1051.6499999999999</v>
      </c>
      <c r="L78" s="174">
        <f t="shared" si="9"/>
        <v>1162.3500000000001</v>
      </c>
      <c r="M78" s="173">
        <f>ROUND(1054*1.05,0)</f>
        <v>1107</v>
      </c>
      <c r="N78" s="175">
        <f t="shared" si="0"/>
        <v>922.5</v>
      </c>
      <c r="O78" s="135"/>
      <c r="P78" s="136">
        <v>782.2</v>
      </c>
      <c r="Q78" s="45">
        <v>896</v>
      </c>
    </row>
    <row r="79" spans="1:17" ht="19.5" thickBot="1">
      <c r="A79" s="552"/>
      <c r="B79" s="209"/>
      <c r="C79" s="625"/>
      <c r="D79" s="154"/>
      <c r="E79" s="555"/>
      <c r="F79" s="246">
        <v>80</v>
      </c>
      <c r="G79" s="257">
        <v>10.75</v>
      </c>
      <c r="H79" s="239">
        <v>1973</v>
      </c>
      <c r="I79" s="149">
        <v>10</v>
      </c>
      <c r="J79" s="178">
        <f t="shared" si="5"/>
        <v>1244</v>
      </c>
      <c r="K79" s="4">
        <f t="shared" si="8"/>
        <v>1181.8</v>
      </c>
      <c r="L79" s="179">
        <f t="shared" si="9"/>
        <v>1306.2</v>
      </c>
      <c r="M79" s="4">
        <f>ROUND(1185*1.05,0)</f>
        <v>1244</v>
      </c>
      <c r="N79" s="180">
        <f t="shared" si="0"/>
        <v>1036.67</v>
      </c>
      <c r="O79" s="135"/>
      <c r="P79" s="136">
        <v>879.66</v>
      </c>
      <c r="Q79" s="44">
        <v>1008</v>
      </c>
    </row>
    <row r="80" spans="1:17" ht="18.75">
      <c r="A80" s="552"/>
      <c r="B80" s="252"/>
      <c r="C80" s="464" t="s">
        <v>100</v>
      </c>
      <c r="D80" s="101" t="s">
        <v>78</v>
      </c>
      <c r="E80" s="555"/>
      <c r="F80" s="245">
        <v>60</v>
      </c>
      <c r="G80" s="256">
        <v>12.9</v>
      </c>
      <c r="H80" s="237">
        <v>1777</v>
      </c>
      <c r="I80" s="113">
        <v>11</v>
      </c>
      <c r="J80" s="172">
        <f t="shared" si="5"/>
        <v>1107</v>
      </c>
      <c r="K80" s="173">
        <f t="shared" si="8"/>
        <v>1051.6499999999999</v>
      </c>
      <c r="L80" s="174">
        <f t="shared" si="9"/>
        <v>1162.3500000000001</v>
      </c>
      <c r="M80" s="173">
        <f>ROUND(1054*1.05,0)</f>
        <v>1107</v>
      </c>
      <c r="N80" s="175">
        <f t="shared" si="0"/>
        <v>922.5</v>
      </c>
      <c r="O80" s="135"/>
      <c r="P80" s="136">
        <v>782.2</v>
      </c>
      <c r="Q80" s="45">
        <v>896</v>
      </c>
    </row>
    <row r="81" spans="1:17" ht="19.5" thickBot="1">
      <c r="A81" s="552"/>
      <c r="B81" s="339"/>
      <c r="C81" s="466"/>
      <c r="D81" s="154"/>
      <c r="E81" s="555"/>
      <c r="F81" s="246">
        <v>80</v>
      </c>
      <c r="G81" s="257">
        <v>10.75</v>
      </c>
      <c r="H81" s="239">
        <v>1973</v>
      </c>
      <c r="I81" s="149">
        <v>10</v>
      </c>
      <c r="J81" s="178">
        <f t="shared" si="5"/>
        <v>1244</v>
      </c>
      <c r="K81" s="4">
        <f t="shared" si="8"/>
        <v>1181.8</v>
      </c>
      <c r="L81" s="179">
        <f t="shared" si="9"/>
        <v>1306.2</v>
      </c>
      <c r="M81" s="4">
        <f>ROUND(1185*1.05,0)</f>
        <v>1244</v>
      </c>
      <c r="N81" s="180">
        <f t="shared" si="0"/>
        <v>1036.67</v>
      </c>
      <c r="O81" s="135"/>
      <c r="P81" s="136">
        <v>879.66</v>
      </c>
      <c r="Q81" s="44">
        <v>1008</v>
      </c>
    </row>
    <row r="82" spans="1:17" ht="18.75">
      <c r="A82" s="552"/>
      <c r="B82" s="342"/>
      <c r="C82" s="628" t="s">
        <v>99</v>
      </c>
      <c r="D82" s="101" t="s">
        <v>78</v>
      </c>
      <c r="E82" s="555"/>
      <c r="F82" s="245">
        <v>60</v>
      </c>
      <c r="G82" s="256">
        <v>12.9</v>
      </c>
      <c r="H82" s="237">
        <v>1777</v>
      </c>
      <c r="I82" s="113">
        <v>11</v>
      </c>
      <c r="J82" s="172">
        <f t="shared" si="5"/>
        <v>1107</v>
      </c>
      <c r="K82" s="173">
        <f t="shared" si="8"/>
        <v>1051.6499999999999</v>
      </c>
      <c r="L82" s="174">
        <f t="shared" si="9"/>
        <v>1162.3500000000001</v>
      </c>
      <c r="M82" s="173">
        <f>ROUND(1054*1.05,0)</f>
        <v>1107</v>
      </c>
      <c r="N82" s="175">
        <f t="shared" si="0"/>
        <v>922.5</v>
      </c>
      <c r="O82" s="135"/>
      <c r="P82" s="136">
        <v>782.2</v>
      </c>
      <c r="Q82" s="45">
        <v>896</v>
      </c>
    </row>
    <row r="83" spans="1:17" ht="19.5" thickBot="1">
      <c r="A83" s="552"/>
      <c r="B83" s="209"/>
      <c r="C83" s="629"/>
      <c r="D83" s="154"/>
      <c r="E83" s="555"/>
      <c r="F83" s="246">
        <v>80</v>
      </c>
      <c r="G83" s="257">
        <v>10.75</v>
      </c>
      <c r="H83" s="239">
        <v>1973</v>
      </c>
      <c r="I83" s="41">
        <v>10</v>
      </c>
      <c r="J83" s="178">
        <f t="shared" si="5"/>
        <v>1244</v>
      </c>
      <c r="K83" s="4">
        <f t="shared" si="8"/>
        <v>1181.8</v>
      </c>
      <c r="L83" s="179">
        <f t="shared" si="9"/>
        <v>1306.2</v>
      </c>
      <c r="M83" s="4">
        <f>ROUND(1185*1.05,0)</f>
        <v>1244</v>
      </c>
      <c r="N83" s="180">
        <f t="shared" si="0"/>
        <v>1036.67</v>
      </c>
      <c r="O83" s="135"/>
      <c r="P83" s="136">
        <v>879.66</v>
      </c>
      <c r="Q83" s="44">
        <v>1008</v>
      </c>
    </row>
    <row r="84" spans="1:17" ht="18.75">
      <c r="A84" s="552"/>
      <c r="B84" s="342"/>
      <c r="C84" s="628" t="s">
        <v>109</v>
      </c>
      <c r="D84" s="101" t="s">
        <v>78</v>
      </c>
      <c r="E84" s="555"/>
      <c r="F84" s="245">
        <v>60</v>
      </c>
      <c r="G84" s="256">
        <v>12.9</v>
      </c>
      <c r="H84" s="237">
        <v>1777</v>
      </c>
      <c r="I84" s="113">
        <v>11</v>
      </c>
      <c r="J84" s="172">
        <f t="shared" si="5"/>
        <v>1107</v>
      </c>
      <c r="K84" s="173">
        <f t="shared" si="8"/>
        <v>1051.6499999999999</v>
      </c>
      <c r="L84" s="174">
        <f t="shared" si="9"/>
        <v>1162.3500000000001</v>
      </c>
      <c r="M84" s="173">
        <f>ROUND(1054*1.05,0)</f>
        <v>1107</v>
      </c>
      <c r="N84" s="175">
        <f t="shared" si="0"/>
        <v>922.5</v>
      </c>
      <c r="O84" s="135"/>
      <c r="P84" s="136">
        <v>782.2</v>
      </c>
      <c r="Q84" s="46">
        <v>896</v>
      </c>
    </row>
    <row r="85" spans="1:17" ht="19.5" thickBot="1">
      <c r="A85" s="552"/>
      <c r="B85" s="209"/>
      <c r="C85" s="629"/>
      <c r="D85" s="154"/>
      <c r="E85" s="555"/>
      <c r="F85" s="246">
        <v>80</v>
      </c>
      <c r="G85" s="257">
        <v>10.75</v>
      </c>
      <c r="H85" s="239">
        <v>1973</v>
      </c>
      <c r="I85" s="41">
        <v>10</v>
      </c>
      <c r="J85" s="178">
        <f t="shared" si="5"/>
        <v>1244</v>
      </c>
      <c r="K85" s="4">
        <f t="shared" si="8"/>
        <v>1181.8</v>
      </c>
      <c r="L85" s="179">
        <f t="shared" si="9"/>
        <v>1306.2</v>
      </c>
      <c r="M85" s="4">
        <f>ROUND(1185*1.05,0)</f>
        <v>1244</v>
      </c>
      <c r="N85" s="180">
        <f t="shared" si="0"/>
        <v>1036.67</v>
      </c>
      <c r="O85" s="135"/>
      <c r="P85" s="136">
        <v>879.66</v>
      </c>
      <c r="Q85" s="44">
        <v>1008</v>
      </c>
    </row>
    <row r="86" spans="1:17" ht="18.75">
      <c r="A86" s="552"/>
      <c r="B86" s="252"/>
      <c r="C86" s="628" t="s">
        <v>97</v>
      </c>
      <c r="D86" s="101" t="s">
        <v>78</v>
      </c>
      <c r="E86" s="555"/>
      <c r="F86" s="245">
        <v>60</v>
      </c>
      <c r="G86" s="256">
        <v>12.9</v>
      </c>
      <c r="H86" s="237">
        <v>1777</v>
      </c>
      <c r="I86" s="113">
        <v>11</v>
      </c>
      <c r="J86" s="172">
        <f t="shared" si="5"/>
        <v>1107</v>
      </c>
      <c r="K86" s="173">
        <f t="shared" si="8"/>
        <v>1051.6499999999999</v>
      </c>
      <c r="L86" s="174">
        <f t="shared" si="9"/>
        <v>1162.3500000000001</v>
      </c>
      <c r="M86" s="173">
        <f>ROUND(1054*1.05,0)</f>
        <v>1107</v>
      </c>
      <c r="N86" s="175">
        <f t="shared" si="0"/>
        <v>922.5</v>
      </c>
      <c r="O86" s="135"/>
      <c r="P86" s="136">
        <v>782.2</v>
      </c>
      <c r="Q86" s="45">
        <v>896</v>
      </c>
    </row>
    <row r="87" spans="1:17" ht="19.5" thickBot="1">
      <c r="A87" s="552"/>
      <c r="B87" s="209"/>
      <c r="C87" s="629"/>
      <c r="D87" s="154"/>
      <c r="E87" s="555"/>
      <c r="F87" s="246">
        <v>80</v>
      </c>
      <c r="G87" s="257">
        <v>10.75</v>
      </c>
      <c r="H87" s="239">
        <v>1973</v>
      </c>
      <c r="I87" s="41">
        <v>10</v>
      </c>
      <c r="J87" s="178">
        <f t="shared" si="5"/>
        <v>1244</v>
      </c>
      <c r="K87" s="4">
        <f t="shared" si="8"/>
        <v>1181.8</v>
      </c>
      <c r="L87" s="179">
        <f t="shared" si="9"/>
        <v>1306.2</v>
      </c>
      <c r="M87" s="4">
        <f>ROUND(1185*1.05,0)</f>
        <v>1244</v>
      </c>
      <c r="N87" s="180">
        <f t="shared" si="0"/>
        <v>1036.67</v>
      </c>
      <c r="O87" s="135"/>
      <c r="P87" s="136">
        <v>879.66</v>
      </c>
      <c r="Q87" s="44">
        <v>1008</v>
      </c>
    </row>
    <row r="88" spans="1:17" ht="18.75">
      <c r="A88" s="552"/>
      <c r="B88" s="252"/>
      <c r="C88" s="628" t="s">
        <v>96</v>
      </c>
      <c r="D88" s="101" t="s">
        <v>78</v>
      </c>
      <c r="E88" s="555"/>
      <c r="F88" s="245">
        <v>60</v>
      </c>
      <c r="G88" s="256">
        <v>12.9</v>
      </c>
      <c r="H88" s="237">
        <v>1777</v>
      </c>
      <c r="I88" s="113">
        <v>11</v>
      </c>
      <c r="J88" s="172">
        <f t="shared" si="5"/>
        <v>1107</v>
      </c>
      <c r="K88" s="173">
        <f t="shared" si="8"/>
        <v>1051.6499999999999</v>
      </c>
      <c r="L88" s="174">
        <f t="shared" si="9"/>
        <v>1162.3500000000001</v>
      </c>
      <c r="M88" s="173">
        <f>ROUND(1054*1.05,0)</f>
        <v>1107</v>
      </c>
      <c r="N88" s="175">
        <f t="shared" si="0"/>
        <v>922.5</v>
      </c>
      <c r="O88" s="135"/>
      <c r="P88" s="136">
        <v>782.2</v>
      </c>
      <c r="Q88" s="45">
        <v>896</v>
      </c>
    </row>
    <row r="89" spans="1:17" ht="19.5" thickBot="1">
      <c r="A89" s="552"/>
      <c r="B89" s="209"/>
      <c r="C89" s="629"/>
      <c r="D89" s="154"/>
      <c r="E89" s="555"/>
      <c r="F89" s="246">
        <v>80</v>
      </c>
      <c r="G89" s="257">
        <v>10.75</v>
      </c>
      <c r="H89" s="239">
        <v>1973</v>
      </c>
      <c r="I89" s="41">
        <v>10</v>
      </c>
      <c r="J89" s="178">
        <f t="shared" si="5"/>
        <v>1244</v>
      </c>
      <c r="K89" s="4">
        <f t="shared" si="8"/>
        <v>1181.8</v>
      </c>
      <c r="L89" s="179">
        <f t="shared" si="9"/>
        <v>1306.2</v>
      </c>
      <c r="M89" s="4">
        <f>ROUND(1185*1.05,0)</f>
        <v>1244</v>
      </c>
      <c r="N89" s="180">
        <f t="shared" si="0"/>
        <v>1036.67</v>
      </c>
      <c r="O89" s="135"/>
      <c r="P89" s="136">
        <v>879.66</v>
      </c>
      <c r="Q89" s="44">
        <v>1008</v>
      </c>
    </row>
    <row r="90" spans="1:17" ht="18.75">
      <c r="A90" s="552"/>
      <c r="B90" s="252"/>
      <c r="C90" s="628" t="s">
        <v>93</v>
      </c>
      <c r="D90" s="101" t="s">
        <v>78</v>
      </c>
      <c r="E90" s="555"/>
      <c r="F90" s="245">
        <v>60</v>
      </c>
      <c r="G90" s="256">
        <v>12.9</v>
      </c>
      <c r="H90" s="237">
        <v>1777</v>
      </c>
      <c r="I90" s="113">
        <v>11</v>
      </c>
      <c r="J90" s="172">
        <f t="shared" si="5"/>
        <v>1107</v>
      </c>
      <c r="K90" s="173">
        <f t="shared" si="8"/>
        <v>1051.6499999999999</v>
      </c>
      <c r="L90" s="174">
        <f t="shared" si="9"/>
        <v>1162.3500000000001</v>
      </c>
      <c r="M90" s="173">
        <f>ROUND(1054*1.05,0)</f>
        <v>1107</v>
      </c>
      <c r="N90" s="175">
        <f t="shared" si="0"/>
        <v>922.5</v>
      </c>
      <c r="O90" s="135"/>
      <c r="P90" s="136">
        <v>782.2</v>
      </c>
      <c r="Q90" s="45">
        <v>896</v>
      </c>
    </row>
    <row r="91" spans="1:17" ht="19.5" thickBot="1">
      <c r="A91" s="552"/>
      <c r="B91" s="339"/>
      <c r="C91" s="629"/>
      <c r="D91" s="154"/>
      <c r="E91" s="555"/>
      <c r="F91" s="246">
        <v>80</v>
      </c>
      <c r="G91" s="257">
        <v>10.75</v>
      </c>
      <c r="H91" s="239">
        <v>1973</v>
      </c>
      <c r="I91" s="41">
        <v>10</v>
      </c>
      <c r="J91" s="178">
        <f t="shared" si="5"/>
        <v>1244</v>
      </c>
      <c r="K91" s="4">
        <f t="shared" si="8"/>
        <v>1181.8</v>
      </c>
      <c r="L91" s="179">
        <f t="shared" si="9"/>
        <v>1306.2</v>
      </c>
      <c r="M91" s="4">
        <f>ROUND(1185*1.05,0)</f>
        <v>1244</v>
      </c>
      <c r="N91" s="180">
        <f t="shared" si="0"/>
        <v>1036.67</v>
      </c>
      <c r="O91" s="135"/>
      <c r="P91" s="136">
        <v>879.66</v>
      </c>
      <c r="Q91" s="44">
        <v>1008</v>
      </c>
    </row>
    <row r="92" spans="1:17" ht="18.75">
      <c r="A92" s="552"/>
      <c r="B92" s="342"/>
      <c r="C92" s="628" t="s">
        <v>94</v>
      </c>
      <c r="D92" s="101" t="s">
        <v>78</v>
      </c>
      <c r="E92" s="555"/>
      <c r="F92" s="245">
        <v>60</v>
      </c>
      <c r="G92" s="256">
        <v>12.9</v>
      </c>
      <c r="H92" s="237">
        <v>1777</v>
      </c>
      <c r="I92" s="113">
        <v>11</v>
      </c>
      <c r="J92" s="172">
        <f t="shared" si="5"/>
        <v>1107</v>
      </c>
      <c r="K92" s="173">
        <f t="shared" si="8"/>
        <v>1051.6499999999999</v>
      </c>
      <c r="L92" s="174">
        <f t="shared" si="9"/>
        <v>1162.3500000000001</v>
      </c>
      <c r="M92" s="173">
        <f>ROUND(1054*1.05,0)</f>
        <v>1107</v>
      </c>
      <c r="N92" s="175">
        <f t="shared" si="0"/>
        <v>922.5</v>
      </c>
      <c r="O92" s="135"/>
      <c r="P92" s="136">
        <v>782.2</v>
      </c>
      <c r="Q92" s="47">
        <v>896</v>
      </c>
    </row>
    <row r="93" spans="1:17" ht="19.5" thickBot="1">
      <c r="A93" s="552"/>
      <c r="B93" s="339"/>
      <c r="C93" s="629"/>
      <c r="D93" s="154"/>
      <c r="E93" s="555"/>
      <c r="F93" s="246">
        <v>80</v>
      </c>
      <c r="G93" s="257">
        <v>10.75</v>
      </c>
      <c r="H93" s="239">
        <v>1973</v>
      </c>
      <c r="I93" s="41">
        <v>10</v>
      </c>
      <c r="J93" s="178">
        <f t="shared" si="5"/>
        <v>1244</v>
      </c>
      <c r="K93" s="4">
        <f t="shared" si="8"/>
        <v>1181.8</v>
      </c>
      <c r="L93" s="179">
        <f t="shared" si="9"/>
        <v>1306.2</v>
      </c>
      <c r="M93" s="4">
        <f>ROUND(1185*1.05,0)</f>
        <v>1244</v>
      </c>
      <c r="N93" s="180">
        <f t="shared" si="0"/>
        <v>1036.67</v>
      </c>
      <c r="O93" s="135"/>
      <c r="P93" s="136">
        <v>879.66</v>
      </c>
      <c r="Q93" s="44">
        <v>1008</v>
      </c>
    </row>
    <row r="94" spans="1:17" ht="18.75">
      <c r="A94" s="552"/>
      <c r="B94" s="342"/>
      <c r="C94" s="628" t="s">
        <v>112</v>
      </c>
      <c r="D94" s="101" t="s">
        <v>78</v>
      </c>
      <c r="E94" s="555"/>
      <c r="F94" s="245">
        <v>60</v>
      </c>
      <c r="G94" s="256">
        <v>12.9</v>
      </c>
      <c r="H94" s="237">
        <v>1777</v>
      </c>
      <c r="I94" s="113">
        <v>11</v>
      </c>
      <c r="J94" s="172">
        <f>ROUND(M94+M94*R94,0)</f>
        <v>1107</v>
      </c>
      <c r="K94" s="173">
        <f>J94*0.95</f>
        <v>1051.6499999999999</v>
      </c>
      <c r="L94" s="174">
        <f>M94*1.05</f>
        <v>1162.3500000000001</v>
      </c>
      <c r="M94" s="173">
        <f>ROUND(1054*1.05,0)</f>
        <v>1107</v>
      </c>
      <c r="N94" s="175">
        <f>ROUND(M94/1.2,2)</f>
        <v>922.5</v>
      </c>
      <c r="O94" s="135"/>
      <c r="P94" s="136"/>
      <c r="Q94" s="47">
        <v>896</v>
      </c>
    </row>
    <row r="95" spans="1:17" ht="19.5" thickBot="1">
      <c r="A95" s="552"/>
      <c r="B95" s="339"/>
      <c r="C95" s="629"/>
      <c r="D95" s="154"/>
      <c r="E95" s="555"/>
      <c r="F95" s="246">
        <v>80</v>
      </c>
      <c r="G95" s="257">
        <v>10.75</v>
      </c>
      <c r="H95" s="239">
        <v>1973</v>
      </c>
      <c r="I95" s="41">
        <v>10</v>
      </c>
      <c r="J95" s="178">
        <f>ROUND(M95+M95*R95,0)</f>
        <v>1244</v>
      </c>
      <c r="K95" s="4">
        <f>J95*0.95</f>
        <v>1181.8</v>
      </c>
      <c r="L95" s="179">
        <f>M95*1.05</f>
        <v>1306.2</v>
      </c>
      <c r="M95" s="4">
        <f>ROUND(1185*1.05,0)</f>
        <v>1244</v>
      </c>
      <c r="N95" s="180">
        <f>ROUND(M95/1.2,2)</f>
        <v>1036.67</v>
      </c>
      <c r="O95" s="135"/>
      <c r="P95" s="136"/>
      <c r="Q95" s="44">
        <v>1008</v>
      </c>
    </row>
    <row r="96" spans="1:17" ht="18.75">
      <c r="A96" s="552"/>
      <c r="B96" s="342"/>
      <c r="C96" s="628" t="s">
        <v>133</v>
      </c>
      <c r="D96" s="101" t="s">
        <v>78</v>
      </c>
      <c r="E96" s="555"/>
      <c r="F96" s="245">
        <v>60</v>
      </c>
      <c r="G96" s="256">
        <v>12.9</v>
      </c>
      <c r="H96" s="237">
        <v>1777</v>
      </c>
      <c r="I96" s="113">
        <v>11</v>
      </c>
      <c r="J96" s="172">
        <f>ROUND(M96+M96*R96,0)</f>
        <v>1107</v>
      </c>
      <c r="K96" s="173">
        <f>J96*0.95</f>
        <v>1051.6499999999999</v>
      </c>
      <c r="L96" s="174">
        <f>M96*1.05</f>
        <v>1162.3500000000001</v>
      </c>
      <c r="M96" s="173">
        <f>ROUND(1054*1.05,0)</f>
        <v>1107</v>
      </c>
      <c r="N96" s="175">
        <f>ROUND(M96/1.2,2)</f>
        <v>922.5</v>
      </c>
      <c r="O96" s="135"/>
      <c r="P96" s="136"/>
      <c r="Q96" s="47">
        <v>896</v>
      </c>
    </row>
    <row r="97" spans="1:17" ht="19.5" thickBot="1">
      <c r="A97" s="552"/>
      <c r="B97" s="339"/>
      <c r="C97" s="629"/>
      <c r="D97" s="154"/>
      <c r="E97" s="555"/>
      <c r="F97" s="246">
        <v>80</v>
      </c>
      <c r="G97" s="257">
        <v>10.75</v>
      </c>
      <c r="H97" s="239">
        <v>1973</v>
      </c>
      <c r="I97" s="41">
        <v>10</v>
      </c>
      <c r="J97" s="178">
        <f>ROUND(M97+M97*R97,0)</f>
        <v>1244</v>
      </c>
      <c r="K97" s="4">
        <f>J97*0.95</f>
        <v>1181.8</v>
      </c>
      <c r="L97" s="179">
        <f>M97*1.05</f>
        <v>1306.2</v>
      </c>
      <c r="M97" s="4">
        <f>ROUND(1185*1.05,0)</f>
        <v>1244</v>
      </c>
      <c r="N97" s="180">
        <f>ROUND(M97/1.2,2)</f>
        <v>1036.67</v>
      </c>
      <c r="O97" s="135"/>
      <c r="P97" s="136"/>
      <c r="Q97" s="44">
        <v>1008</v>
      </c>
    </row>
    <row r="98" spans="1:17" ht="18.75">
      <c r="A98" s="552"/>
      <c r="B98" s="335"/>
      <c r="C98" s="630" t="s">
        <v>95</v>
      </c>
      <c r="D98" s="193" t="s">
        <v>78</v>
      </c>
      <c r="E98" s="555"/>
      <c r="F98" s="245">
        <v>60</v>
      </c>
      <c r="G98" s="256">
        <v>12.9</v>
      </c>
      <c r="H98" s="237">
        <v>1777</v>
      </c>
      <c r="I98" s="113">
        <v>11</v>
      </c>
      <c r="J98" s="172">
        <f t="shared" si="5"/>
        <v>1107</v>
      </c>
      <c r="K98" s="173">
        <f t="shared" si="8"/>
        <v>1051.6499999999999</v>
      </c>
      <c r="L98" s="174">
        <f t="shared" si="9"/>
        <v>1162.3500000000001</v>
      </c>
      <c r="M98" s="173">
        <f>ROUND(1054*1.05,0)</f>
        <v>1107</v>
      </c>
      <c r="N98" s="175">
        <f t="shared" si="0"/>
        <v>922.5</v>
      </c>
      <c r="O98" s="135"/>
      <c r="P98" s="136">
        <v>782.2</v>
      </c>
      <c r="Q98" s="47">
        <v>896</v>
      </c>
    </row>
    <row r="99" spans="1:17" ht="19.5" thickBot="1">
      <c r="A99" s="553"/>
      <c r="B99" s="209"/>
      <c r="C99" s="629"/>
      <c r="D99" s="154"/>
      <c r="E99" s="556"/>
      <c r="F99" s="246">
        <v>80</v>
      </c>
      <c r="G99" s="257">
        <v>10.75</v>
      </c>
      <c r="H99" s="239">
        <v>1973</v>
      </c>
      <c r="I99" s="41">
        <v>10</v>
      </c>
      <c r="J99" s="178">
        <f t="shared" si="5"/>
        <v>1244</v>
      </c>
      <c r="K99" s="4">
        <f t="shared" si="8"/>
        <v>1181.8</v>
      </c>
      <c r="L99" s="179">
        <f t="shared" si="9"/>
        <v>1306.2</v>
      </c>
      <c r="M99" s="4">
        <f>ROUND(1185*1.05,0)</f>
        <v>1244</v>
      </c>
      <c r="N99" s="180">
        <f t="shared" si="0"/>
        <v>1036.67</v>
      </c>
      <c r="O99" s="135"/>
      <c r="P99" s="136">
        <v>879.66</v>
      </c>
      <c r="Q99" s="44">
        <v>1008</v>
      </c>
    </row>
    <row r="100" spans="1:17" ht="15.75" thickBot="1">
      <c r="A100" s="469" t="s">
        <v>57</v>
      </c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1"/>
      <c r="O100" s="135"/>
      <c r="P100" s="136">
        <v>0</v>
      </c>
      <c r="Q100" s="18"/>
    </row>
    <row r="101" spans="1:17" ht="60">
      <c r="A101" s="513">
        <v>11</v>
      </c>
      <c r="B101" s="191"/>
      <c r="C101" s="153" t="s">
        <v>125</v>
      </c>
      <c r="D101" s="97" t="s">
        <v>78</v>
      </c>
      <c r="E101" s="582" t="s">
        <v>58</v>
      </c>
      <c r="F101" s="554">
        <v>40</v>
      </c>
      <c r="G101" s="333">
        <v>20.74</v>
      </c>
      <c r="H101" s="146">
        <v>1903</v>
      </c>
      <c r="I101" s="148">
        <v>10</v>
      </c>
      <c r="J101" s="212">
        <f>M101*1.3</f>
        <v>1116.7</v>
      </c>
      <c r="K101" s="213">
        <f>J101*0.95</f>
        <v>1060.865</v>
      </c>
      <c r="L101" s="173">
        <f>M101*1.05</f>
        <v>901.95</v>
      </c>
      <c r="M101" s="214">
        <f>ROUND(818*1.05,0)</f>
        <v>859</v>
      </c>
      <c r="N101" s="215">
        <f t="shared" si="0"/>
        <v>715.83</v>
      </c>
      <c r="O101" s="135"/>
      <c r="P101" s="136"/>
      <c r="Q101" s="39"/>
    </row>
    <row r="102" spans="1:17" ht="75">
      <c r="A102" s="513"/>
      <c r="B102" s="191"/>
      <c r="C102" s="153" t="s">
        <v>123</v>
      </c>
      <c r="D102" s="97" t="s">
        <v>78</v>
      </c>
      <c r="E102" s="582"/>
      <c r="F102" s="555"/>
      <c r="G102" s="333">
        <v>20.74</v>
      </c>
      <c r="H102" s="146">
        <v>1903</v>
      </c>
      <c r="I102" s="148">
        <v>10</v>
      </c>
      <c r="J102" s="216">
        <f>M102*1.3</f>
        <v>1116.7</v>
      </c>
      <c r="K102" s="217">
        <f>J102*0.95</f>
        <v>1060.865</v>
      </c>
      <c r="L102" s="3">
        <f>M102*1.05</f>
        <v>901.95</v>
      </c>
      <c r="M102" s="218">
        <f>ROUND(818*1.05,0)</f>
        <v>859</v>
      </c>
      <c r="N102" s="219">
        <f t="shared" si="0"/>
        <v>715.83</v>
      </c>
      <c r="O102" s="135"/>
      <c r="P102" s="136"/>
      <c r="Q102" s="39"/>
    </row>
    <row r="103" spans="1:17" ht="60">
      <c r="A103" s="513"/>
      <c r="B103" s="191"/>
      <c r="C103" s="153" t="s">
        <v>124</v>
      </c>
      <c r="D103" s="97" t="s">
        <v>78</v>
      </c>
      <c r="E103" s="582"/>
      <c r="F103" s="555"/>
      <c r="G103" s="333">
        <v>20.74</v>
      </c>
      <c r="H103" s="146">
        <v>1903</v>
      </c>
      <c r="I103" s="148">
        <v>10</v>
      </c>
      <c r="J103" s="216">
        <f>M103*1.3</f>
        <v>1116.7</v>
      </c>
      <c r="K103" s="217">
        <f>J103*0.95</f>
        <v>1060.865</v>
      </c>
      <c r="L103" s="3">
        <f>M103*1.05</f>
        <v>901.95</v>
      </c>
      <c r="M103" s="218">
        <f>ROUND(818*1.05,0)</f>
        <v>859</v>
      </c>
      <c r="N103" s="219">
        <f t="shared" si="0"/>
        <v>715.83</v>
      </c>
      <c r="O103" s="135"/>
      <c r="P103" s="136"/>
      <c r="Q103" s="39"/>
    </row>
    <row r="104" spans="1:17" ht="60.75" thickBot="1">
      <c r="A104" s="514"/>
      <c r="B104" s="162"/>
      <c r="C104" s="153" t="s">
        <v>68</v>
      </c>
      <c r="D104" s="97" t="s">
        <v>78</v>
      </c>
      <c r="E104" s="582"/>
      <c r="F104" s="556"/>
      <c r="G104" s="333">
        <v>20.74</v>
      </c>
      <c r="H104" s="146">
        <v>1903</v>
      </c>
      <c r="I104" s="148">
        <v>10</v>
      </c>
      <c r="J104" s="220">
        <f>M104*1.3</f>
        <v>1116.7</v>
      </c>
      <c r="K104" s="221">
        <f>J104*0.95</f>
        <v>1060.865</v>
      </c>
      <c r="L104" s="4">
        <f>M104*1.05</f>
        <v>901.95</v>
      </c>
      <c r="M104" s="222">
        <f>ROUND(818*1.05,0)</f>
        <v>859</v>
      </c>
      <c r="N104" s="223">
        <f>ROUND(M104/1.2,2)</f>
        <v>715.83</v>
      </c>
      <c r="O104" s="135"/>
      <c r="P104" s="136">
        <v>782.2</v>
      </c>
      <c r="Q104" s="42">
        <v>896</v>
      </c>
    </row>
    <row r="105" spans="1:17" ht="15.75" thickBot="1">
      <c r="A105" s="585" t="s">
        <v>121</v>
      </c>
      <c r="B105" s="586"/>
      <c r="C105" s="586"/>
      <c r="D105" s="586"/>
      <c r="E105" s="586"/>
      <c r="F105" s="586"/>
      <c r="G105" s="586"/>
      <c r="H105" s="586"/>
      <c r="I105" s="586"/>
      <c r="J105" s="586"/>
      <c r="K105" s="586"/>
      <c r="L105" s="586"/>
      <c r="M105" s="586"/>
      <c r="N105" s="631"/>
      <c r="O105" s="135"/>
      <c r="P105" s="136"/>
      <c r="Q105" s="47"/>
    </row>
    <row r="106" spans="1:17" ht="75">
      <c r="A106" s="498">
        <v>12</v>
      </c>
      <c r="B106" s="258"/>
      <c r="C106" s="151" t="s">
        <v>101</v>
      </c>
      <c r="D106" s="96"/>
      <c r="E106" s="566" t="s">
        <v>122</v>
      </c>
      <c r="F106" s="554">
        <v>60</v>
      </c>
      <c r="G106" s="359">
        <v>13.18</v>
      </c>
      <c r="H106" s="142">
        <v>1815</v>
      </c>
      <c r="I106" s="143">
        <v>11</v>
      </c>
      <c r="J106" s="212">
        <f>M106*1.3</f>
        <v>1480.7</v>
      </c>
      <c r="K106" s="213">
        <f>J106*0.95</f>
        <v>1406.665</v>
      </c>
      <c r="L106" s="214">
        <f>M106*1.05</f>
        <v>1195.95</v>
      </c>
      <c r="M106" s="213">
        <f>ROUND(1085*1.05,0)</f>
        <v>1139</v>
      </c>
      <c r="N106" s="224">
        <f>M106/1.2</f>
        <v>949.16666666666674</v>
      </c>
      <c r="O106" s="135"/>
      <c r="P106" s="136"/>
      <c r="Q106" s="47"/>
    </row>
    <row r="107" spans="1:17" ht="45.75" thickBot="1">
      <c r="A107" s="500"/>
      <c r="B107" s="259"/>
      <c r="C107" s="152" t="s">
        <v>92</v>
      </c>
      <c r="D107" s="154"/>
      <c r="E107" s="567"/>
      <c r="F107" s="556"/>
      <c r="G107" s="360">
        <v>13.18</v>
      </c>
      <c r="H107" s="144">
        <v>1815</v>
      </c>
      <c r="I107" s="145">
        <v>11</v>
      </c>
      <c r="J107" s="220">
        <f>M107*1.3</f>
        <v>1480.7</v>
      </c>
      <c r="K107" s="221">
        <f>J107*0.95</f>
        <v>1406.665</v>
      </c>
      <c r="L107" s="222">
        <f>M107*1.05</f>
        <v>1195.95</v>
      </c>
      <c r="M107" s="221">
        <f>ROUND(1085*1.05,0)</f>
        <v>1139</v>
      </c>
      <c r="N107" s="225">
        <f>M107/1.2</f>
        <v>949.16666666666674</v>
      </c>
      <c r="O107" s="135"/>
      <c r="P107" s="136"/>
      <c r="Q107" s="47"/>
    </row>
    <row r="108" spans="1:17" ht="15.75" thickBot="1">
      <c r="A108" s="469" t="s">
        <v>34</v>
      </c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1"/>
      <c r="O108" s="135"/>
      <c r="P108" s="136">
        <v>0</v>
      </c>
      <c r="Q108" s="51"/>
    </row>
    <row r="109" spans="1:17" ht="18.75">
      <c r="A109" s="499">
        <v>13</v>
      </c>
      <c r="B109" s="570"/>
      <c r="C109" s="571" t="s">
        <v>6</v>
      </c>
      <c r="D109" s="346" t="s">
        <v>78</v>
      </c>
      <c r="E109" s="450" t="s">
        <v>42</v>
      </c>
      <c r="F109" s="245">
        <v>40</v>
      </c>
      <c r="G109" s="166">
        <v>19.440000000000001</v>
      </c>
      <c r="H109" s="117">
        <v>1781</v>
      </c>
      <c r="I109" s="118">
        <v>11</v>
      </c>
      <c r="J109" s="172">
        <f t="shared" ref="J109:J125" si="10">ROUND(M109+M109*R109,0)</f>
        <v>546</v>
      </c>
      <c r="K109" s="173">
        <f t="shared" ref="K109:K120" si="11">ROUND(J109-(J109*S109),0)</f>
        <v>546</v>
      </c>
      <c r="L109" s="174">
        <f>M109*1.03</f>
        <v>562.38</v>
      </c>
      <c r="M109" s="173">
        <f>ROUND(520*1.05,0)</f>
        <v>546</v>
      </c>
      <c r="N109" s="175">
        <f t="shared" si="0"/>
        <v>455</v>
      </c>
      <c r="O109" s="135"/>
      <c r="P109" s="136">
        <v>361.02</v>
      </c>
      <c r="Q109" s="16">
        <v>406</v>
      </c>
    </row>
    <row r="110" spans="1:17" ht="18.75">
      <c r="A110" s="499"/>
      <c r="B110" s="570"/>
      <c r="C110" s="571"/>
      <c r="D110" s="344" t="s">
        <v>78</v>
      </c>
      <c r="E110" s="451"/>
      <c r="F110" s="234">
        <v>60</v>
      </c>
      <c r="G110" s="167">
        <v>12.96</v>
      </c>
      <c r="H110" s="119">
        <v>1785</v>
      </c>
      <c r="I110" s="120">
        <v>11</v>
      </c>
      <c r="J110" s="176">
        <f t="shared" si="10"/>
        <v>656</v>
      </c>
      <c r="K110" s="3">
        <f t="shared" si="11"/>
        <v>656</v>
      </c>
      <c r="L110" s="31">
        <f>M110*1.03</f>
        <v>675.68000000000006</v>
      </c>
      <c r="M110" s="3">
        <f>ROUND(625*1.05,0)</f>
        <v>656</v>
      </c>
      <c r="N110" s="177">
        <f t="shared" si="0"/>
        <v>546.66999999999996</v>
      </c>
      <c r="O110" s="135"/>
      <c r="P110" s="136">
        <v>433.9</v>
      </c>
      <c r="Q110" s="16">
        <v>488</v>
      </c>
    </row>
    <row r="111" spans="1:17" ht="19.5" thickBot="1">
      <c r="A111" s="499"/>
      <c r="B111" s="570"/>
      <c r="C111" s="571"/>
      <c r="D111" s="347"/>
      <c r="E111" s="452"/>
      <c r="F111" s="246">
        <v>80</v>
      </c>
      <c r="G111" s="139">
        <v>10.8</v>
      </c>
      <c r="H111" s="121">
        <v>1982</v>
      </c>
      <c r="I111" s="122">
        <v>10</v>
      </c>
      <c r="J111" s="178">
        <f t="shared" si="10"/>
        <v>793</v>
      </c>
      <c r="K111" s="4">
        <f t="shared" si="11"/>
        <v>793</v>
      </c>
      <c r="L111" s="179">
        <f>M111*1.03</f>
        <v>816.79000000000008</v>
      </c>
      <c r="M111" s="4">
        <f>ROUND(755*1.05,0)</f>
        <v>793</v>
      </c>
      <c r="N111" s="180">
        <f t="shared" ref="N111:N120" si="12">ROUND(M111/1.2,2)</f>
        <v>660.83</v>
      </c>
      <c r="O111" s="135"/>
      <c r="P111" s="136">
        <v>523.73</v>
      </c>
      <c r="Q111" s="42">
        <v>589</v>
      </c>
    </row>
    <row r="112" spans="1:17" ht="19.5" thickBot="1">
      <c r="A112" s="499"/>
      <c r="B112" s="271"/>
      <c r="C112" s="468"/>
      <c r="D112" s="205"/>
      <c r="E112" s="233" t="s">
        <v>20</v>
      </c>
      <c r="F112" s="233">
        <v>70</v>
      </c>
      <c r="G112" s="232">
        <v>12.67</v>
      </c>
      <c r="H112" s="299">
        <v>2046</v>
      </c>
      <c r="I112" s="345">
        <v>9</v>
      </c>
      <c r="J112" s="93">
        <v>788</v>
      </c>
      <c r="K112" s="230">
        <v>764</v>
      </c>
      <c r="L112" s="94">
        <v>737.48</v>
      </c>
      <c r="M112" s="230">
        <v>716</v>
      </c>
      <c r="N112" s="95">
        <v>596.66999999999996</v>
      </c>
      <c r="O112" s="135"/>
      <c r="P112" s="136"/>
      <c r="Q112" s="42"/>
    </row>
    <row r="113" spans="1:17" ht="18.75">
      <c r="A113" s="499"/>
      <c r="B113" s="453"/>
      <c r="C113" s="455" t="s">
        <v>38</v>
      </c>
      <c r="D113" s="97" t="s">
        <v>78</v>
      </c>
      <c r="E113" s="450" t="s">
        <v>42</v>
      </c>
      <c r="F113" s="245">
        <v>40</v>
      </c>
      <c r="G113" s="166">
        <v>19.440000000000001</v>
      </c>
      <c r="H113" s="117">
        <v>1781</v>
      </c>
      <c r="I113" s="118">
        <v>11</v>
      </c>
      <c r="J113" s="172">
        <f t="shared" si="10"/>
        <v>618</v>
      </c>
      <c r="K113" s="173">
        <f t="shared" si="11"/>
        <v>618</v>
      </c>
      <c r="L113" s="174">
        <f>M113*1.04</f>
        <v>642.72</v>
      </c>
      <c r="M113" s="173">
        <f>ROUND(589*1.05,0)</f>
        <v>618</v>
      </c>
      <c r="N113" s="175">
        <f t="shared" si="12"/>
        <v>515</v>
      </c>
      <c r="O113" s="135"/>
      <c r="P113" s="136">
        <v>407.63</v>
      </c>
      <c r="Q113" s="16">
        <v>458</v>
      </c>
    </row>
    <row r="114" spans="1:17" ht="19.5" thickBot="1">
      <c r="A114" s="499"/>
      <c r="B114" s="454"/>
      <c r="C114" s="456"/>
      <c r="D114" s="261" t="s">
        <v>78</v>
      </c>
      <c r="E114" s="452"/>
      <c r="F114" s="246">
        <v>60</v>
      </c>
      <c r="G114" s="139">
        <v>12.96</v>
      </c>
      <c r="H114" s="121">
        <v>1785</v>
      </c>
      <c r="I114" s="122">
        <v>11</v>
      </c>
      <c r="J114" s="178">
        <f t="shared" si="10"/>
        <v>758</v>
      </c>
      <c r="K114" s="4">
        <f t="shared" si="11"/>
        <v>758</v>
      </c>
      <c r="L114" s="179">
        <f t="shared" ref="L114:L120" si="13">M114*1.04</f>
        <v>788.32</v>
      </c>
      <c r="M114" s="4">
        <f>ROUND(722*1.05,0)</f>
        <v>758</v>
      </c>
      <c r="N114" s="180">
        <f t="shared" si="12"/>
        <v>631.66999999999996</v>
      </c>
      <c r="O114" s="135"/>
      <c r="P114" s="136">
        <v>501.69</v>
      </c>
      <c r="Q114" s="16">
        <v>564</v>
      </c>
    </row>
    <row r="115" spans="1:17" ht="18.75">
      <c r="A115" s="499"/>
      <c r="B115" s="424"/>
      <c r="C115" s="457" t="s">
        <v>12</v>
      </c>
      <c r="D115" s="96" t="s">
        <v>78</v>
      </c>
      <c r="E115" s="450" t="s">
        <v>42</v>
      </c>
      <c r="F115" s="245">
        <v>40</v>
      </c>
      <c r="G115" s="166">
        <v>19.440000000000001</v>
      </c>
      <c r="H115" s="117">
        <v>1781</v>
      </c>
      <c r="I115" s="118">
        <v>11</v>
      </c>
      <c r="J115" s="172">
        <f t="shared" si="10"/>
        <v>618</v>
      </c>
      <c r="K115" s="173">
        <f t="shared" si="11"/>
        <v>618</v>
      </c>
      <c r="L115" s="174">
        <f t="shared" si="13"/>
        <v>642.72</v>
      </c>
      <c r="M115" s="173">
        <f>ROUND(589*1.05,0)</f>
        <v>618</v>
      </c>
      <c r="N115" s="175">
        <f t="shared" si="12"/>
        <v>515</v>
      </c>
      <c r="O115" s="135"/>
      <c r="P115" s="136">
        <v>407.63</v>
      </c>
      <c r="Q115" s="16">
        <v>458</v>
      </c>
    </row>
    <row r="116" spans="1:17" ht="19.5" thickBot="1">
      <c r="A116" s="499"/>
      <c r="B116" s="425"/>
      <c r="C116" s="458"/>
      <c r="D116" s="154" t="s">
        <v>78</v>
      </c>
      <c r="E116" s="452"/>
      <c r="F116" s="246">
        <v>60</v>
      </c>
      <c r="G116" s="139">
        <v>12.96</v>
      </c>
      <c r="H116" s="121">
        <v>1785</v>
      </c>
      <c r="I116" s="122">
        <v>11</v>
      </c>
      <c r="J116" s="178">
        <f t="shared" si="10"/>
        <v>758</v>
      </c>
      <c r="K116" s="4">
        <f t="shared" si="11"/>
        <v>758</v>
      </c>
      <c r="L116" s="179">
        <f t="shared" si="13"/>
        <v>788.32</v>
      </c>
      <c r="M116" s="4">
        <f>ROUND(722*1.05,0)</f>
        <v>758</v>
      </c>
      <c r="N116" s="180">
        <f t="shared" si="12"/>
        <v>631.66999999999996</v>
      </c>
      <c r="O116" s="135"/>
      <c r="P116" s="136">
        <v>501.69</v>
      </c>
      <c r="Q116" s="16">
        <v>564</v>
      </c>
    </row>
    <row r="117" spans="1:17" ht="18.75">
      <c r="A117" s="499"/>
      <c r="B117" s="467"/>
      <c r="C117" s="455" t="s">
        <v>13</v>
      </c>
      <c r="D117" s="190" t="s">
        <v>78</v>
      </c>
      <c r="E117" s="450" t="s">
        <v>42</v>
      </c>
      <c r="F117" s="245">
        <v>40</v>
      </c>
      <c r="G117" s="166">
        <v>19.440000000000001</v>
      </c>
      <c r="H117" s="117">
        <v>1781</v>
      </c>
      <c r="I117" s="118">
        <v>11</v>
      </c>
      <c r="J117" s="172">
        <f t="shared" si="10"/>
        <v>618</v>
      </c>
      <c r="K117" s="173">
        <f t="shared" si="11"/>
        <v>618</v>
      </c>
      <c r="L117" s="174">
        <f t="shared" si="13"/>
        <v>642.72</v>
      </c>
      <c r="M117" s="173">
        <f>ROUND(589*1.05,0)</f>
        <v>618</v>
      </c>
      <c r="N117" s="175">
        <f t="shared" si="12"/>
        <v>515</v>
      </c>
      <c r="O117" s="135"/>
      <c r="P117" s="136">
        <v>407.63</v>
      </c>
      <c r="Q117" s="16">
        <v>485</v>
      </c>
    </row>
    <row r="118" spans="1:17" ht="19.5" thickBot="1">
      <c r="A118" s="499"/>
      <c r="B118" s="468"/>
      <c r="C118" s="456"/>
      <c r="D118" s="261" t="s">
        <v>78</v>
      </c>
      <c r="E118" s="452"/>
      <c r="F118" s="246">
        <v>60</v>
      </c>
      <c r="G118" s="139">
        <v>12.96</v>
      </c>
      <c r="H118" s="121">
        <v>1785</v>
      </c>
      <c r="I118" s="122">
        <v>11</v>
      </c>
      <c r="J118" s="178">
        <f t="shared" si="10"/>
        <v>758</v>
      </c>
      <c r="K118" s="4">
        <f t="shared" si="11"/>
        <v>758</v>
      </c>
      <c r="L118" s="179">
        <f t="shared" si="13"/>
        <v>788.32</v>
      </c>
      <c r="M118" s="4">
        <f>ROUND(722*1.05,0)</f>
        <v>758</v>
      </c>
      <c r="N118" s="180">
        <f t="shared" si="12"/>
        <v>631.66999999999996</v>
      </c>
      <c r="O118" s="135"/>
      <c r="P118" s="136">
        <v>501.69</v>
      </c>
      <c r="Q118" s="16">
        <v>564</v>
      </c>
    </row>
    <row r="119" spans="1:17" ht="18.75">
      <c r="A119" s="499"/>
      <c r="B119" s="467"/>
      <c r="C119" s="545" t="s">
        <v>44</v>
      </c>
      <c r="D119" s="96" t="s">
        <v>78</v>
      </c>
      <c r="E119" s="450" t="s">
        <v>42</v>
      </c>
      <c r="F119" s="245">
        <v>40</v>
      </c>
      <c r="G119" s="166">
        <v>19.440000000000001</v>
      </c>
      <c r="H119" s="117">
        <v>1781</v>
      </c>
      <c r="I119" s="118">
        <v>11</v>
      </c>
      <c r="J119" s="172">
        <f t="shared" si="10"/>
        <v>618</v>
      </c>
      <c r="K119" s="173">
        <f t="shared" si="11"/>
        <v>618</v>
      </c>
      <c r="L119" s="174">
        <f t="shared" si="13"/>
        <v>642.72</v>
      </c>
      <c r="M119" s="173">
        <f>ROUND(589*1.05,0)</f>
        <v>618</v>
      </c>
      <c r="N119" s="175">
        <f>ROUND(M119/1.2,2)</f>
        <v>515</v>
      </c>
      <c r="O119" s="135"/>
      <c r="P119" s="136">
        <v>407.63</v>
      </c>
      <c r="Q119" s="16">
        <v>485</v>
      </c>
    </row>
    <row r="120" spans="1:17" ht="19.5" thickBot="1">
      <c r="A120" s="499"/>
      <c r="B120" s="468"/>
      <c r="C120" s="546"/>
      <c r="D120" s="154" t="s">
        <v>78</v>
      </c>
      <c r="E120" s="452"/>
      <c r="F120" s="246">
        <v>60</v>
      </c>
      <c r="G120" s="139">
        <v>12.96</v>
      </c>
      <c r="H120" s="121">
        <v>1785</v>
      </c>
      <c r="I120" s="122">
        <v>11</v>
      </c>
      <c r="J120" s="178">
        <f t="shared" si="10"/>
        <v>758</v>
      </c>
      <c r="K120" s="4">
        <f t="shared" si="11"/>
        <v>758</v>
      </c>
      <c r="L120" s="179">
        <f t="shared" si="13"/>
        <v>788.32</v>
      </c>
      <c r="M120" s="4">
        <f>ROUND(722*1.05,0)</f>
        <v>758</v>
      </c>
      <c r="N120" s="180">
        <f t="shared" si="12"/>
        <v>631.66999999999996</v>
      </c>
      <c r="O120" s="135"/>
      <c r="P120" s="136">
        <v>501.69</v>
      </c>
      <c r="Q120" s="16">
        <v>564</v>
      </c>
    </row>
    <row r="121" spans="1:17" ht="18.75">
      <c r="A121" s="499"/>
      <c r="B121" s="264"/>
      <c r="C121" s="632" t="s">
        <v>14</v>
      </c>
      <c r="D121" s="190"/>
      <c r="E121" s="450" t="s">
        <v>42</v>
      </c>
      <c r="F121" s="245">
        <v>40</v>
      </c>
      <c r="G121" s="166">
        <v>19.440000000000001</v>
      </c>
      <c r="H121" s="117">
        <v>1781</v>
      </c>
      <c r="I121" s="118">
        <v>11</v>
      </c>
      <c r="J121" s="172">
        <f>ROUND(M121+M121*R121,0)</f>
        <v>618</v>
      </c>
      <c r="K121" s="173">
        <f>ROUND(J121-(J121*S121),0)</f>
        <v>618</v>
      </c>
      <c r="L121" s="174">
        <f>M121*1.04</f>
        <v>642.72</v>
      </c>
      <c r="M121" s="173">
        <f>ROUND(589*1.05,0)</f>
        <v>618</v>
      </c>
      <c r="N121" s="175">
        <f>ROUND(M121/1.2,2)</f>
        <v>515</v>
      </c>
      <c r="O121" s="135"/>
      <c r="P121" s="136">
        <v>676.27</v>
      </c>
      <c r="Q121" s="42">
        <v>760</v>
      </c>
    </row>
    <row r="122" spans="1:17" ht="19.5" thickBot="1">
      <c r="A122" s="499"/>
      <c r="B122" s="275"/>
      <c r="C122" s="633"/>
      <c r="D122" s="154"/>
      <c r="E122" s="452"/>
      <c r="F122" s="246">
        <v>60</v>
      </c>
      <c r="G122" s="139">
        <v>12.96</v>
      </c>
      <c r="H122" s="121">
        <v>1785</v>
      </c>
      <c r="I122" s="122">
        <v>11</v>
      </c>
      <c r="J122" s="178">
        <f>ROUND(M122+M122*R122,0)</f>
        <v>758</v>
      </c>
      <c r="K122" s="4">
        <f>ROUND(J122-(J122*S122),0)</f>
        <v>758</v>
      </c>
      <c r="L122" s="179">
        <f>M122*1.04</f>
        <v>788.32</v>
      </c>
      <c r="M122" s="4">
        <f>ROUND(722*1.05,0)</f>
        <v>758</v>
      </c>
      <c r="N122" s="180">
        <f>ROUND(M122/1.2,2)</f>
        <v>631.66999999999996</v>
      </c>
      <c r="O122" s="135"/>
      <c r="P122" s="136">
        <v>676.27</v>
      </c>
      <c r="Q122" s="42">
        <v>760</v>
      </c>
    </row>
    <row r="123" spans="1:17" ht="75">
      <c r="A123" s="499"/>
      <c r="B123" s="270"/>
      <c r="C123" s="272" t="s">
        <v>101</v>
      </c>
      <c r="D123" s="190" t="s">
        <v>78</v>
      </c>
      <c r="E123" s="245" t="s">
        <v>42</v>
      </c>
      <c r="F123" s="361">
        <v>40</v>
      </c>
      <c r="G123" s="166">
        <v>19.440000000000001</v>
      </c>
      <c r="H123" s="117">
        <v>1781</v>
      </c>
      <c r="I123" s="118">
        <v>11</v>
      </c>
      <c r="J123" s="172">
        <f t="shared" si="10"/>
        <v>859</v>
      </c>
      <c r="K123" s="173">
        <f>J123*0.95</f>
        <v>816.05</v>
      </c>
      <c r="L123" s="174">
        <f>M123*1.05</f>
        <v>901.95</v>
      </c>
      <c r="M123" s="173">
        <f>ROUND(818*1.05,0)</f>
        <v>859</v>
      </c>
      <c r="N123" s="175">
        <f t="shared" ref="N123:N140" si="14">ROUND(M123/1.2,2)</f>
        <v>715.83</v>
      </c>
      <c r="O123" s="135"/>
      <c r="P123" s="136">
        <v>606.78</v>
      </c>
      <c r="Q123" s="16">
        <v>695</v>
      </c>
    </row>
    <row r="124" spans="1:17" ht="60.75" thickBot="1">
      <c r="A124" s="499"/>
      <c r="B124" s="271"/>
      <c r="C124" s="273" t="s">
        <v>86</v>
      </c>
      <c r="D124" s="106"/>
      <c r="E124" s="246" t="s">
        <v>42</v>
      </c>
      <c r="F124" s="362">
        <v>60</v>
      </c>
      <c r="G124" s="139">
        <v>12.96</v>
      </c>
      <c r="H124" s="121">
        <v>1785</v>
      </c>
      <c r="I124" s="122">
        <v>11</v>
      </c>
      <c r="J124" s="178">
        <f t="shared" si="10"/>
        <v>1107</v>
      </c>
      <c r="K124" s="4">
        <f>J124*0.95</f>
        <v>1051.6499999999999</v>
      </c>
      <c r="L124" s="179">
        <f>M124*1.05</f>
        <v>1162.3500000000001</v>
      </c>
      <c r="M124" s="4">
        <f>ROUND(1054*1.05,0)</f>
        <v>1107</v>
      </c>
      <c r="N124" s="180">
        <f t="shared" si="14"/>
        <v>922.5</v>
      </c>
      <c r="O124" s="135"/>
      <c r="P124" s="136">
        <v>782.2</v>
      </c>
      <c r="Q124" s="16">
        <v>896</v>
      </c>
    </row>
    <row r="125" spans="1:17" ht="45">
      <c r="A125" s="499"/>
      <c r="B125" s="270"/>
      <c r="C125" s="266" t="s">
        <v>92</v>
      </c>
      <c r="D125" s="97" t="s">
        <v>78</v>
      </c>
      <c r="E125" s="245" t="s">
        <v>42</v>
      </c>
      <c r="F125" s="361">
        <v>40</v>
      </c>
      <c r="G125" s="166">
        <v>19.440000000000001</v>
      </c>
      <c r="H125" s="117">
        <v>1781</v>
      </c>
      <c r="I125" s="118">
        <v>11</v>
      </c>
      <c r="J125" s="172">
        <f t="shared" si="10"/>
        <v>859</v>
      </c>
      <c r="K125" s="173">
        <f>J125*0.95</f>
        <v>816.05</v>
      </c>
      <c r="L125" s="174">
        <f>M125*1.05</f>
        <v>901.95</v>
      </c>
      <c r="M125" s="173">
        <f>ROUND(818*1.05,0)</f>
        <v>859</v>
      </c>
      <c r="N125" s="175">
        <f t="shared" si="14"/>
        <v>715.83</v>
      </c>
      <c r="O125" s="135"/>
      <c r="P125" s="136">
        <v>606.78</v>
      </c>
      <c r="Q125" s="16">
        <v>695</v>
      </c>
    </row>
    <row r="126" spans="1:17" ht="45.75" thickBot="1">
      <c r="A126" s="499"/>
      <c r="B126" s="271"/>
      <c r="C126" s="263" t="s">
        <v>93</v>
      </c>
      <c r="D126" s="106"/>
      <c r="E126" s="246" t="s">
        <v>42</v>
      </c>
      <c r="F126" s="362">
        <v>60</v>
      </c>
      <c r="G126" s="139">
        <v>12.96</v>
      </c>
      <c r="H126" s="121">
        <v>1785</v>
      </c>
      <c r="I126" s="122">
        <v>11</v>
      </c>
      <c r="J126" s="178">
        <f>ROUND(M126+M126*R126,0)</f>
        <v>1107</v>
      </c>
      <c r="K126" s="4">
        <f>J126*0.95</f>
        <v>1051.6499999999999</v>
      </c>
      <c r="L126" s="179">
        <f>M126*1.05</f>
        <v>1162.3500000000001</v>
      </c>
      <c r="M126" s="4">
        <f>ROUND(1054*1.05,0)</f>
        <v>1107</v>
      </c>
      <c r="N126" s="180">
        <f>ROUND(M126/1.2,2)</f>
        <v>922.5</v>
      </c>
      <c r="O126" s="135"/>
      <c r="P126" s="136"/>
      <c r="Q126" s="262"/>
    </row>
    <row r="127" spans="1:17" ht="15.75" thickBot="1">
      <c r="A127" s="469" t="s">
        <v>43</v>
      </c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O127" s="135"/>
      <c r="P127" s="136">
        <v>0</v>
      </c>
      <c r="Q127" s="53"/>
    </row>
    <row r="128" spans="1:17" ht="19.5" thickBot="1">
      <c r="A128" s="512">
        <v>14</v>
      </c>
      <c r="B128" s="461"/>
      <c r="C128" s="464" t="s">
        <v>6</v>
      </c>
      <c r="D128" s="96"/>
      <c r="E128" s="247" t="s">
        <v>39</v>
      </c>
      <c r="F128" s="495">
        <v>60</v>
      </c>
      <c r="G128" s="256">
        <v>11.88</v>
      </c>
      <c r="H128" s="237">
        <v>1590</v>
      </c>
      <c r="I128" s="248">
        <v>12</v>
      </c>
      <c r="J128" s="172">
        <f t="shared" ref="J128:J140" si="15">ROUND(M128+M128*R128,0)</f>
        <v>656</v>
      </c>
      <c r="K128" s="173">
        <f t="shared" ref="K128:K136" si="16">ROUND(J128-(J128*S128),0)</f>
        <v>656</v>
      </c>
      <c r="L128" s="174">
        <f>M128*1.03</f>
        <v>675.68000000000006</v>
      </c>
      <c r="M128" s="173">
        <f>ROUND(625*1.05,0)</f>
        <v>656</v>
      </c>
      <c r="N128" s="215">
        <f t="shared" si="14"/>
        <v>546.66999999999996</v>
      </c>
      <c r="O128" s="135"/>
      <c r="P128" s="136">
        <v>433.9</v>
      </c>
      <c r="Q128" s="54">
        <v>488</v>
      </c>
    </row>
    <row r="129" spans="1:17" ht="18.75">
      <c r="A129" s="514"/>
      <c r="B129" s="462"/>
      <c r="C129" s="465"/>
      <c r="D129" s="99" t="s">
        <v>78</v>
      </c>
      <c r="E129" s="123" t="s">
        <v>37</v>
      </c>
      <c r="F129" s="496"/>
      <c r="G129" s="249">
        <v>14.4</v>
      </c>
      <c r="H129" s="238">
        <v>1988</v>
      </c>
      <c r="I129" s="240">
        <v>10</v>
      </c>
      <c r="J129" s="176">
        <f t="shared" si="15"/>
        <v>656</v>
      </c>
      <c r="K129" s="3">
        <f t="shared" si="16"/>
        <v>656</v>
      </c>
      <c r="L129" s="31">
        <f>M129*1.03</f>
        <v>675.68000000000006</v>
      </c>
      <c r="M129" s="3">
        <f>ROUND(625*1.05,0)</f>
        <v>656</v>
      </c>
      <c r="N129" s="219">
        <f>ROUND(M129/1.2,2)</f>
        <v>546.66999999999996</v>
      </c>
      <c r="O129" s="135"/>
      <c r="P129" s="136">
        <v>433.9</v>
      </c>
      <c r="Q129" s="43">
        <v>488</v>
      </c>
    </row>
    <row r="130" spans="1:17" ht="19.5" thickBot="1">
      <c r="A130" s="499"/>
      <c r="B130" s="553"/>
      <c r="C130" s="466"/>
      <c r="D130" s="261"/>
      <c r="E130" s="277" t="s">
        <v>59</v>
      </c>
      <c r="F130" s="496"/>
      <c r="G130" s="328">
        <v>11.52</v>
      </c>
      <c r="H130" s="161">
        <v>1641</v>
      </c>
      <c r="I130" s="278">
        <v>12</v>
      </c>
      <c r="J130" s="279">
        <f t="shared" si="15"/>
        <v>656</v>
      </c>
      <c r="K130" s="181">
        <f t="shared" si="16"/>
        <v>656</v>
      </c>
      <c r="L130" s="34">
        <f>M130*1.03</f>
        <v>675.68000000000006</v>
      </c>
      <c r="M130" s="181">
        <f>ROUND(625*1.05,0)</f>
        <v>656</v>
      </c>
      <c r="N130" s="280">
        <f>ROUND(M130/1.2,2)</f>
        <v>546.66999999999996</v>
      </c>
      <c r="O130" s="135"/>
      <c r="P130" s="136">
        <v>433.9</v>
      </c>
      <c r="Q130" s="44">
        <v>488</v>
      </c>
    </row>
    <row r="131" spans="1:17" ht="18.75">
      <c r="A131" s="514"/>
      <c r="B131" s="478"/>
      <c r="C131" s="480" t="s">
        <v>38</v>
      </c>
      <c r="D131" s="101"/>
      <c r="E131" s="247" t="s">
        <v>39</v>
      </c>
      <c r="F131" s="496"/>
      <c r="G131" s="256">
        <v>11.88</v>
      </c>
      <c r="H131" s="237">
        <v>1590</v>
      </c>
      <c r="I131" s="248">
        <v>12</v>
      </c>
      <c r="J131" s="172">
        <f t="shared" si="15"/>
        <v>758</v>
      </c>
      <c r="K131" s="173">
        <f t="shared" si="16"/>
        <v>758</v>
      </c>
      <c r="L131" s="174">
        <f t="shared" ref="L131:L136" si="17">M131*1.04</f>
        <v>788.32</v>
      </c>
      <c r="M131" s="173">
        <f t="shared" ref="M131:M136" si="18">ROUND(722*1.05,0)</f>
        <v>758</v>
      </c>
      <c r="N131" s="215">
        <f t="shared" si="14"/>
        <v>631.66999999999996</v>
      </c>
      <c r="O131" s="135"/>
      <c r="P131" s="136">
        <v>501.69</v>
      </c>
      <c r="Q131" s="45">
        <v>564</v>
      </c>
    </row>
    <row r="132" spans="1:17" ht="19.5" thickBot="1">
      <c r="A132" s="514"/>
      <c r="B132" s="479"/>
      <c r="C132" s="481"/>
      <c r="D132" s="106" t="s">
        <v>78</v>
      </c>
      <c r="E132" s="91" t="s">
        <v>37</v>
      </c>
      <c r="F132" s="496"/>
      <c r="G132" s="257">
        <v>14.4</v>
      </c>
      <c r="H132" s="239">
        <v>1988</v>
      </c>
      <c r="I132" s="251">
        <v>10</v>
      </c>
      <c r="J132" s="178">
        <f t="shared" si="15"/>
        <v>758</v>
      </c>
      <c r="K132" s="4">
        <f t="shared" si="16"/>
        <v>758</v>
      </c>
      <c r="L132" s="179">
        <f t="shared" si="17"/>
        <v>788.32</v>
      </c>
      <c r="M132" s="4">
        <f t="shared" si="18"/>
        <v>758</v>
      </c>
      <c r="N132" s="223">
        <f t="shared" si="14"/>
        <v>631.66999999999996</v>
      </c>
      <c r="O132" s="135"/>
      <c r="P132" s="136">
        <v>501.69</v>
      </c>
      <c r="Q132" s="45">
        <v>564</v>
      </c>
    </row>
    <row r="133" spans="1:17" ht="18.75">
      <c r="A133" s="514"/>
      <c r="B133" s="534"/>
      <c r="C133" s="464" t="s">
        <v>44</v>
      </c>
      <c r="D133" s="96"/>
      <c r="E133" s="247" t="s">
        <v>39</v>
      </c>
      <c r="F133" s="496"/>
      <c r="G133" s="256">
        <v>11.88</v>
      </c>
      <c r="H133" s="237">
        <v>1590</v>
      </c>
      <c r="I133" s="248">
        <v>12</v>
      </c>
      <c r="J133" s="172">
        <f t="shared" si="15"/>
        <v>758</v>
      </c>
      <c r="K133" s="173">
        <f t="shared" si="16"/>
        <v>758</v>
      </c>
      <c r="L133" s="174">
        <f t="shared" si="17"/>
        <v>788.32</v>
      </c>
      <c r="M133" s="173">
        <f t="shared" si="18"/>
        <v>758</v>
      </c>
      <c r="N133" s="215">
        <f t="shared" si="14"/>
        <v>631.66999999999996</v>
      </c>
      <c r="O133" s="135"/>
      <c r="P133" s="136">
        <v>501.69</v>
      </c>
      <c r="Q133" s="45">
        <v>564</v>
      </c>
    </row>
    <row r="134" spans="1:17" ht="19.5" thickBot="1">
      <c r="A134" s="514"/>
      <c r="B134" s="535"/>
      <c r="C134" s="466"/>
      <c r="D134" s="106" t="s">
        <v>78</v>
      </c>
      <c r="E134" s="91" t="s">
        <v>37</v>
      </c>
      <c r="F134" s="496"/>
      <c r="G134" s="257">
        <v>14.4</v>
      </c>
      <c r="H134" s="239">
        <v>1988</v>
      </c>
      <c r="I134" s="251">
        <v>10</v>
      </c>
      <c r="J134" s="178">
        <f t="shared" si="15"/>
        <v>758</v>
      </c>
      <c r="K134" s="4">
        <f t="shared" si="16"/>
        <v>758</v>
      </c>
      <c r="L134" s="179">
        <f t="shared" si="17"/>
        <v>788.32</v>
      </c>
      <c r="M134" s="4">
        <f t="shared" si="18"/>
        <v>758</v>
      </c>
      <c r="N134" s="223">
        <f t="shared" si="14"/>
        <v>631.66999999999996</v>
      </c>
      <c r="O134" s="135"/>
      <c r="P134" s="136">
        <v>501.69</v>
      </c>
      <c r="Q134" s="45">
        <v>564</v>
      </c>
    </row>
    <row r="135" spans="1:17" ht="18.75">
      <c r="A135" s="499"/>
      <c r="B135" s="364"/>
      <c r="C135" s="464" t="s">
        <v>14</v>
      </c>
      <c r="D135" s="96"/>
      <c r="E135" s="247" t="s">
        <v>39</v>
      </c>
      <c r="F135" s="496"/>
      <c r="G135" s="256">
        <v>11.88</v>
      </c>
      <c r="H135" s="237">
        <v>1590</v>
      </c>
      <c r="I135" s="248">
        <v>12</v>
      </c>
      <c r="J135" s="172">
        <f t="shared" si="15"/>
        <v>758</v>
      </c>
      <c r="K135" s="173">
        <f t="shared" si="16"/>
        <v>758</v>
      </c>
      <c r="L135" s="174">
        <f t="shared" si="17"/>
        <v>788.32</v>
      </c>
      <c r="M135" s="173">
        <f t="shared" si="18"/>
        <v>758</v>
      </c>
      <c r="N135" s="215">
        <f t="shared" si="14"/>
        <v>631.66999999999996</v>
      </c>
      <c r="O135" s="135"/>
      <c r="P135" s="136">
        <v>501.69</v>
      </c>
      <c r="Q135" s="44">
        <v>564</v>
      </c>
    </row>
    <row r="136" spans="1:17" ht="19.5" thickBot="1">
      <c r="A136" s="514"/>
      <c r="B136" s="255"/>
      <c r="C136" s="466"/>
      <c r="D136" s="154"/>
      <c r="E136" s="91" t="s">
        <v>37</v>
      </c>
      <c r="F136" s="496"/>
      <c r="G136" s="257">
        <v>14.4</v>
      </c>
      <c r="H136" s="239">
        <v>1988</v>
      </c>
      <c r="I136" s="251">
        <v>10</v>
      </c>
      <c r="J136" s="178">
        <f t="shared" si="15"/>
        <v>758</v>
      </c>
      <c r="K136" s="4">
        <f t="shared" si="16"/>
        <v>758</v>
      </c>
      <c r="L136" s="179">
        <f t="shared" si="17"/>
        <v>788.32</v>
      </c>
      <c r="M136" s="4">
        <f t="shared" si="18"/>
        <v>758</v>
      </c>
      <c r="N136" s="223">
        <f t="shared" si="14"/>
        <v>631.66999999999996</v>
      </c>
      <c r="O136" s="135"/>
      <c r="P136" s="136">
        <v>501.69</v>
      </c>
      <c r="Q136" s="44">
        <v>564</v>
      </c>
    </row>
    <row r="137" spans="1:17" ht="19.5" thickBot="1">
      <c r="A137" s="499"/>
      <c r="B137" s="124"/>
      <c r="C137" s="341" t="s">
        <v>12</v>
      </c>
      <c r="D137" s="281"/>
      <c r="E137" s="250" t="s">
        <v>39</v>
      </c>
      <c r="F137" s="496"/>
      <c r="G137" s="231">
        <v>11.88</v>
      </c>
      <c r="H137" s="298">
        <v>1590</v>
      </c>
      <c r="I137" s="282">
        <v>12</v>
      </c>
      <c r="J137" s="265">
        <f>ROUND(M137+M137*R137,0)</f>
        <v>758</v>
      </c>
      <c r="K137" s="229">
        <f>ROUND(J137-(J137*S137),0)</f>
        <v>758</v>
      </c>
      <c r="L137" s="141">
        <f>M137*1.04</f>
        <v>788.32</v>
      </c>
      <c r="M137" s="229">
        <f>ROUND(722*1.05,0)</f>
        <v>758</v>
      </c>
      <c r="N137" s="283">
        <f>ROUND(M137/1.2,2)</f>
        <v>631.66999999999996</v>
      </c>
      <c r="O137" s="135"/>
      <c r="P137" s="136"/>
      <c r="Q137" s="44">
        <v>564</v>
      </c>
    </row>
    <row r="138" spans="1:17" ht="30.75" thickBot="1">
      <c r="A138" s="499"/>
      <c r="B138" s="297"/>
      <c r="C138" s="343" t="s">
        <v>142</v>
      </c>
      <c r="D138" s="37"/>
      <c r="E138" s="81" t="s">
        <v>37</v>
      </c>
      <c r="F138" s="496"/>
      <c r="G138" s="130">
        <v>14.4</v>
      </c>
      <c r="H138" s="111">
        <v>1988</v>
      </c>
      <c r="I138" s="112">
        <v>10</v>
      </c>
      <c r="J138" s="85">
        <f t="shared" si="15"/>
        <v>1347</v>
      </c>
      <c r="K138" s="86">
        <f>J138*0.95</f>
        <v>1279.6499999999999</v>
      </c>
      <c r="L138" s="74">
        <f>M138*1.05</f>
        <v>1414.3500000000001</v>
      </c>
      <c r="M138" s="86">
        <f>ROUND(1283*1.05,0)</f>
        <v>1347</v>
      </c>
      <c r="N138" s="137">
        <f t="shared" si="14"/>
        <v>1122.5</v>
      </c>
      <c r="O138" s="135"/>
      <c r="P138" s="136">
        <v>890.68</v>
      </c>
      <c r="Q138" s="44">
        <v>1001</v>
      </c>
    </row>
    <row r="139" spans="1:17" ht="30.75" thickBot="1">
      <c r="A139" s="499"/>
      <c r="B139" s="365"/>
      <c r="C139" s="312" t="s">
        <v>143</v>
      </c>
      <c r="D139" s="37"/>
      <c r="E139" s="81" t="s">
        <v>37</v>
      </c>
      <c r="F139" s="496"/>
      <c r="G139" s="130">
        <v>14.4</v>
      </c>
      <c r="H139" s="111">
        <v>1988</v>
      </c>
      <c r="I139" s="112">
        <v>10</v>
      </c>
      <c r="J139" s="85">
        <f t="shared" si="15"/>
        <v>1347</v>
      </c>
      <c r="K139" s="86">
        <f>J139*0.95</f>
        <v>1279.6499999999999</v>
      </c>
      <c r="L139" s="74">
        <f>M139*1.05</f>
        <v>1414.3500000000001</v>
      </c>
      <c r="M139" s="86">
        <f>ROUND(1283*1.05,0)</f>
        <v>1347</v>
      </c>
      <c r="N139" s="137">
        <f t="shared" si="14"/>
        <v>1122.5</v>
      </c>
      <c r="O139" s="135"/>
      <c r="P139" s="136">
        <v>890.68</v>
      </c>
      <c r="Q139" s="44">
        <v>1001</v>
      </c>
    </row>
    <row r="140" spans="1:17" ht="30.75" thickBot="1">
      <c r="A140" s="500"/>
      <c r="B140" s="92"/>
      <c r="C140" s="236" t="s">
        <v>104</v>
      </c>
      <c r="D140" s="37"/>
      <c r="E140" s="81" t="s">
        <v>37</v>
      </c>
      <c r="F140" s="497"/>
      <c r="G140" s="130">
        <v>14.4</v>
      </c>
      <c r="H140" s="111">
        <v>1988</v>
      </c>
      <c r="I140" s="112">
        <v>10</v>
      </c>
      <c r="J140" s="85">
        <f t="shared" si="15"/>
        <v>1347</v>
      </c>
      <c r="K140" s="86">
        <f>J140*0.95</f>
        <v>1279.6499999999999</v>
      </c>
      <c r="L140" s="74">
        <f>M140*1.05</f>
        <v>1414.3500000000001</v>
      </c>
      <c r="M140" s="86">
        <f>ROUND(1283*1.05,0)</f>
        <v>1347</v>
      </c>
      <c r="N140" s="137">
        <f t="shared" si="14"/>
        <v>1122.5</v>
      </c>
      <c r="O140" s="135"/>
      <c r="P140" s="136">
        <v>890.68</v>
      </c>
      <c r="Q140" s="48">
        <v>1001</v>
      </c>
    </row>
    <row r="141" spans="1:17" ht="15.75" thickBot="1">
      <c r="A141" s="516" t="s">
        <v>35</v>
      </c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8"/>
      <c r="O141" s="135"/>
      <c r="P141" s="136">
        <v>0</v>
      </c>
      <c r="Q141" s="63"/>
    </row>
    <row r="142" spans="1:17" ht="19.5" thickBot="1">
      <c r="A142" s="150">
        <v>15</v>
      </c>
      <c r="B142" s="427"/>
      <c r="C142" s="128" t="s">
        <v>6</v>
      </c>
      <c r="D142" s="83" t="s">
        <v>79</v>
      </c>
      <c r="E142" s="159" t="s">
        <v>18</v>
      </c>
      <c r="F142" s="322">
        <v>100</v>
      </c>
      <c r="G142" s="130">
        <v>10.8</v>
      </c>
      <c r="H142" s="111">
        <v>1552</v>
      </c>
      <c r="I142" s="131">
        <v>12</v>
      </c>
      <c r="J142" s="85">
        <f>ROUND(M142+M142*R142,0)</f>
        <v>758</v>
      </c>
      <c r="K142" s="86">
        <f>J142*0.97</f>
        <v>735.26</v>
      </c>
      <c r="L142" s="74">
        <f>M142*1.03</f>
        <v>780.74</v>
      </c>
      <c r="M142" s="86">
        <f>ROUND(722*1.05,0)</f>
        <v>758</v>
      </c>
      <c r="N142" s="137">
        <f>ROUND(M142/1.2,2)</f>
        <v>631.66999999999996</v>
      </c>
      <c r="O142" s="135"/>
      <c r="P142" s="136">
        <v>501.69</v>
      </c>
      <c r="Q142" s="12">
        <v>564</v>
      </c>
    </row>
    <row r="143" spans="1:17" ht="19.5" thickBot="1">
      <c r="A143" s="293"/>
      <c r="B143" s="253"/>
      <c r="C143" s="284"/>
      <c r="D143" s="285"/>
      <c r="E143" s="286"/>
      <c r="F143" s="287"/>
      <c r="G143" s="253"/>
      <c r="H143" s="253"/>
      <c r="I143" s="253"/>
      <c r="J143" s="288"/>
      <c r="K143" s="288"/>
      <c r="L143" s="288"/>
      <c r="M143" s="288"/>
      <c r="N143" s="289"/>
      <c r="O143" s="290"/>
      <c r="P143" s="291"/>
      <c r="Q143" s="292"/>
    </row>
    <row r="144" spans="1:17" ht="16.5" thickBot="1">
      <c r="A144" s="492" t="s">
        <v>1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4"/>
      <c r="O144" s="135"/>
      <c r="P144" s="136">
        <v>0</v>
      </c>
      <c r="Q144" s="55"/>
    </row>
    <row r="145" spans="1:17" ht="123" thickBot="1">
      <c r="A145" s="76" t="s">
        <v>0</v>
      </c>
      <c r="B145" s="501" t="s">
        <v>5</v>
      </c>
      <c r="C145" s="502"/>
      <c r="D145" s="503"/>
      <c r="E145" s="77" t="s">
        <v>7</v>
      </c>
      <c r="F145" s="77" t="s">
        <v>16</v>
      </c>
      <c r="G145" s="77" t="s">
        <v>134</v>
      </c>
      <c r="H145" s="78" t="s">
        <v>8</v>
      </c>
      <c r="I145" s="77" t="s">
        <v>25</v>
      </c>
      <c r="J145" s="79" t="s">
        <v>33</v>
      </c>
      <c r="K145" s="77" t="s">
        <v>56</v>
      </c>
      <c r="L145" s="78" t="s">
        <v>82</v>
      </c>
      <c r="M145" s="77" t="s">
        <v>53</v>
      </c>
      <c r="N145" s="80" t="s">
        <v>54</v>
      </c>
      <c r="O145" s="75">
        <v>1.05</v>
      </c>
      <c r="P145" s="77" t="s">
        <v>119</v>
      </c>
      <c r="Q145" s="77" t="s">
        <v>120</v>
      </c>
    </row>
    <row r="146" spans="1:17" ht="15.75" thickBot="1">
      <c r="A146" s="469" t="s">
        <v>30</v>
      </c>
      <c r="B146" s="470"/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1"/>
      <c r="O146" s="135"/>
      <c r="P146" s="136">
        <v>0</v>
      </c>
      <c r="Q146" s="57"/>
    </row>
    <row r="147" spans="1:17" ht="19.5" thickBot="1">
      <c r="A147" s="150">
        <v>1</v>
      </c>
      <c r="B147" s="286"/>
      <c r="C147" s="312" t="s">
        <v>6</v>
      </c>
      <c r="D147" s="83" t="s">
        <v>79</v>
      </c>
      <c r="E147" s="322" t="s">
        <v>45</v>
      </c>
      <c r="F147" s="130">
        <v>300</v>
      </c>
      <c r="G147" s="111">
        <v>18</v>
      </c>
      <c r="H147" s="111">
        <v>1818</v>
      </c>
      <c r="I147" s="112">
        <v>11</v>
      </c>
      <c r="J147" s="85">
        <f>ROUND(M147+M147*R147,0)</f>
        <v>389</v>
      </c>
      <c r="K147" s="86">
        <f>ROUND(J147-(J147*S147),0)</f>
        <v>389</v>
      </c>
      <c r="L147" s="74">
        <f>M147*1.03</f>
        <v>400.67</v>
      </c>
      <c r="M147" s="86">
        <f>ROUND(370*1.05,0)</f>
        <v>389</v>
      </c>
      <c r="N147" s="137">
        <f>ROUND(M147/1.2,2)</f>
        <v>324.17</v>
      </c>
      <c r="O147" s="135"/>
      <c r="P147" s="136">
        <v>255.93</v>
      </c>
      <c r="Q147" s="38">
        <v>288</v>
      </c>
    </row>
    <row r="148" spans="1:17" ht="15.75" thickBot="1">
      <c r="A148" s="469" t="s">
        <v>29</v>
      </c>
      <c r="B148" s="470"/>
      <c r="C148" s="470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1"/>
      <c r="O148" s="135"/>
      <c r="P148" s="136">
        <v>0</v>
      </c>
      <c r="Q148" s="58"/>
    </row>
    <row r="149" spans="1:17" ht="19.5" thickBot="1">
      <c r="A149" s="512">
        <v>2</v>
      </c>
      <c r="B149" s="432"/>
      <c r="C149" s="312" t="s">
        <v>6</v>
      </c>
      <c r="D149" s="83" t="s">
        <v>79</v>
      </c>
      <c r="E149" s="472" t="s">
        <v>46</v>
      </c>
      <c r="F149" s="472">
        <v>200</v>
      </c>
      <c r="G149" s="507">
        <v>48</v>
      </c>
      <c r="H149" s="488">
        <v>1759</v>
      </c>
      <c r="I149" s="527">
        <v>11</v>
      </c>
      <c r="J149" s="85">
        <f>ROUND(M149+M149*R149,0)</f>
        <v>168</v>
      </c>
      <c r="K149" s="86">
        <f>ROUND(J149-(J149*S149),0)</f>
        <v>168</v>
      </c>
      <c r="L149" s="74">
        <f>M149*1.03</f>
        <v>173.04</v>
      </c>
      <c r="M149" s="86">
        <f>ROUND(160*1.05,0)</f>
        <v>168</v>
      </c>
      <c r="N149" s="137">
        <f t="shared" ref="N149:N165" si="19">ROUND(M149/1.2,2)</f>
        <v>140</v>
      </c>
      <c r="O149" s="135"/>
      <c r="P149" s="136">
        <v>111.02</v>
      </c>
      <c r="Q149" s="59">
        <v>125</v>
      </c>
    </row>
    <row r="150" spans="1:17" ht="18.75">
      <c r="A150" s="513"/>
      <c r="B150" s="433"/>
      <c r="C150" s="206" t="s">
        <v>14</v>
      </c>
      <c r="D150" s="193" t="s">
        <v>79</v>
      </c>
      <c r="E150" s="509"/>
      <c r="F150" s="509"/>
      <c r="G150" s="522"/>
      <c r="H150" s="489"/>
      <c r="I150" s="528"/>
      <c r="J150" s="172">
        <f>M150*1.3</f>
        <v>265.2</v>
      </c>
      <c r="K150" s="173">
        <f>J150*0.95</f>
        <v>251.93999999999997</v>
      </c>
      <c r="L150" s="174">
        <f>M150*1.05</f>
        <v>214.20000000000002</v>
      </c>
      <c r="M150" s="173">
        <f>ROUND(194*1.05,0)</f>
        <v>204</v>
      </c>
      <c r="N150" s="175">
        <f>ROUND(M150/1.2,2)</f>
        <v>170</v>
      </c>
      <c r="O150" s="135"/>
      <c r="P150" s="136">
        <v>134.75</v>
      </c>
      <c r="Q150" s="61">
        <v>151</v>
      </c>
    </row>
    <row r="151" spans="1:17" ht="18.75">
      <c r="A151" s="514"/>
      <c r="B151" s="434"/>
      <c r="C151" s="204" t="s">
        <v>13</v>
      </c>
      <c r="D151" s="97"/>
      <c r="E151" s="459"/>
      <c r="F151" s="459"/>
      <c r="G151" s="508"/>
      <c r="H151" s="490"/>
      <c r="I151" s="529"/>
      <c r="J151" s="176">
        <f>M151*1.3</f>
        <v>265.2</v>
      </c>
      <c r="K151" s="3">
        <f>J151*0.95</f>
        <v>251.93999999999997</v>
      </c>
      <c r="L151" s="31">
        <f>M151*1.05</f>
        <v>214.20000000000002</v>
      </c>
      <c r="M151" s="3">
        <f>ROUND(194*1.05,0)</f>
        <v>204</v>
      </c>
      <c r="N151" s="177">
        <f t="shared" si="19"/>
        <v>170</v>
      </c>
      <c r="O151" s="135"/>
      <c r="P151" s="136">
        <v>134.75</v>
      </c>
      <c r="Q151" s="61">
        <v>151</v>
      </c>
    </row>
    <row r="152" spans="1:17" ht="18.75">
      <c r="A152" s="514"/>
      <c r="B152" s="434"/>
      <c r="C152" s="204" t="s">
        <v>12</v>
      </c>
      <c r="D152" s="99" t="s">
        <v>79</v>
      </c>
      <c r="E152" s="459"/>
      <c r="F152" s="459"/>
      <c r="G152" s="508"/>
      <c r="H152" s="490"/>
      <c r="I152" s="529"/>
      <c r="J152" s="176">
        <f t="shared" ref="J152:J165" si="20">M152*1.3</f>
        <v>265.2</v>
      </c>
      <c r="K152" s="3">
        <f t="shared" ref="K152:K165" si="21">J152*0.95</f>
        <v>251.93999999999997</v>
      </c>
      <c r="L152" s="31">
        <f t="shared" ref="L152:L165" si="22">M152*1.05</f>
        <v>214.20000000000002</v>
      </c>
      <c r="M152" s="3">
        <f t="shared" ref="M152:M158" si="23">ROUND(194*1.05,0)</f>
        <v>204</v>
      </c>
      <c r="N152" s="177">
        <f t="shared" si="19"/>
        <v>170</v>
      </c>
      <c r="O152" s="135"/>
      <c r="P152" s="136">
        <v>134.75</v>
      </c>
      <c r="Q152" s="61">
        <v>151</v>
      </c>
    </row>
    <row r="153" spans="1:17" ht="30">
      <c r="A153" s="514"/>
      <c r="B153" s="434"/>
      <c r="C153" s="204" t="s">
        <v>38</v>
      </c>
      <c r="D153" s="99" t="s">
        <v>79</v>
      </c>
      <c r="E153" s="459"/>
      <c r="F153" s="459"/>
      <c r="G153" s="508"/>
      <c r="H153" s="490"/>
      <c r="I153" s="529"/>
      <c r="J153" s="176">
        <f t="shared" si="20"/>
        <v>265.2</v>
      </c>
      <c r="K153" s="3">
        <f t="shared" si="21"/>
        <v>251.93999999999997</v>
      </c>
      <c r="L153" s="31">
        <f t="shared" si="22"/>
        <v>214.20000000000002</v>
      </c>
      <c r="M153" s="3">
        <f t="shared" si="23"/>
        <v>204</v>
      </c>
      <c r="N153" s="177">
        <f t="shared" si="19"/>
        <v>170</v>
      </c>
      <c r="O153" s="135"/>
      <c r="P153" s="136">
        <v>134.75</v>
      </c>
      <c r="Q153" s="61">
        <v>151</v>
      </c>
    </row>
    <row r="154" spans="1:17" ht="30">
      <c r="A154" s="514"/>
      <c r="B154" s="434"/>
      <c r="C154" s="204" t="s">
        <v>44</v>
      </c>
      <c r="D154" s="99" t="s">
        <v>79</v>
      </c>
      <c r="E154" s="459"/>
      <c r="F154" s="459"/>
      <c r="G154" s="508"/>
      <c r="H154" s="490"/>
      <c r="I154" s="529"/>
      <c r="J154" s="176">
        <f t="shared" si="20"/>
        <v>265.2</v>
      </c>
      <c r="K154" s="3">
        <f t="shared" si="21"/>
        <v>251.93999999999997</v>
      </c>
      <c r="L154" s="31">
        <f t="shared" si="22"/>
        <v>214.20000000000002</v>
      </c>
      <c r="M154" s="3">
        <f t="shared" si="23"/>
        <v>204</v>
      </c>
      <c r="N154" s="177">
        <f t="shared" si="19"/>
        <v>170</v>
      </c>
      <c r="O154" s="135"/>
      <c r="P154" s="136">
        <v>134.75</v>
      </c>
      <c r="Q154" s="61">
        <v>151</v>
      </c>
    </row>
    <row r="155" spans="1:17" ht="60">
      <c r="A155" s="514"/>
      <c r="B155" s="434"/>
      <c r="C155" s="206" t="s">
        <v>86</v>
      </c>
      <c r="D155" s="99" t="s">
        <v>79</v>
      </c>
      <c r="E155" s="459"/>
      <c r="F155" s="459"/>
      <c r="G155" s="508"/>
      <c r="H155" s="490"/>
      <c r="I155" s="529"/>
      <c r="J155" s="176">
        <f t="shared" si="20"/>
        <v>265.2</v>
      </c>
      <c r="K155" s="3">
        <f t="shared" si="21"/>
        <v>251.93999999999997</v>
      </c>
      <c r="L155" s="31">
        <f t="shared" si="22"/>
        <v>214.20000000000002</v>
      </c>
      <c r="M155" s="3">
        <f t="shared" si="23"/>
        <v>204</v>
      </c>
      <c r="N155" s="177">
        <f t="shared" si="19"/>
        <v>170</v>
      </c>
      <c r="O155" s="135"/>
      <c r="P155" s="136">
        <v>134.75</v>
      </c>
      <c r="Q155" s="61">
        <v>151</v>
      </c>
    </row>
    <row r="156" spans="1:17" ht="45">
      <c r="A156" s="514"/>
      <c r="B156" s="434"/>
      <c r="C156" s="204" t="s">
        <v>107</v>
      </c>
      <c r="D156" s="99" t="s">
        <v>79</v>
      </c>
      <c r="E156" s="459"/>
      <c r="F156" s="459"/>
      <c r="G156" s="508"/>
      <c r="H156" s="490"/>
      <c r="I156" s="529"/>
      <c r="J156" s="176">
        <f t="shared" si="20"/>
        <v>265.2</v>
      </c>
      <c r="K156" s="3">
        <f t="shared" si="21"/>
        <v>251.93999999999997</v>
      </c>
      <c r="L156" s="31">
        <f t="shared" si="22"/>
        <v>214.20000000000002</v>
      </c>
      <c r="M156" s="3">
        <f t="shared" si="23"/>
        <v>204</v>
      </c>
      <c r="N156" s="177">
        <f t="shared" si="19"/>
        <v>170</v>
      </c>
      <c r="O156" s="135"/>
      <c r="P156" s="136">
        <v>134.75</v>
      </c>
      <c r="Q156" s="61">
        <v>151</v>
      </c>
    </row>
    <row r="157" spans="1:17" ht="60">
      <c r="A157" s="514"/>
      <c r="B157" s="434"/>
      <c r="C157" s="204" t="s">
        <v>108</v>
      </c>
      <c r="D157" s="99" t="s">
        <v>79</v>
      </c>
      <c r="E157" s="459"/>
      <c r="F157" s="459"/>
      <c r="G157" s="508"/>
      <c r="H157" s="490"/>
      <c r="I157" s="529"/>
      <c r="J157" s="176">
        <f t="shared" si="20"/>
        <v>265.2</v>
      </c>
      <c r="K157" s="3">
        <f t="shared" si="21"/>
        <v>251.93999999999997</v>
      </c>
      <c r="L157" s="31">
        <f t="shared" si="22"/>
        <v>214.20000000000002</v>
      </c>
      <c r="M157" s="3">
        <f t="shared" si="23"/>
        <v>204</v>
      </c>
      <c r="N157" s="177">
        <f t="shared" si="19"/>
        <v>170</v>
      </c>
      <c r="O157" s="135"/>
      <c r="P157" s="136">
        <v>134.75</v>
      </c>
      <c r="Q157" s="61">
        <v>151</v>
      </c>
    </row>
    <row r="158" spans="1:17" ht="45.75" thickBot="1">
      <c r="A158" s="515"/>
      <c r="B158" s="436"/>
      <c r="C158" s="334" t="s">
        <v>92</v>
      </c>
      <c r="D158" s="106" t="s">
        <v>79</v>
      </c>
      <c r="E158" s="460"/>
      <c r="F158" s="460"/>
      <c r="G158" s="523"/>
      <c r="H158" s="491"/>
      <c r="I158" s="530"/>
      <c r="J158" s="178">
        <f t="shared" si="20"/>
        <v>265.2</v>
      </c>
      <c r="K158" s="4">
        <f t="shared" si="21"/>
        <v>251.93999999999997</v>
      </c>
      <c r="L158" s="179">
        <f t="shared" si="22"/>
        <v>214.20000000000002</v>
      </c>
      <c r="M158" s="4">
        <f t="shared" si="23"/>
        <v>204</v>
      </c>
      <c r="N158" s="180">
        <f t="shared" si="19"/>
        <v>170</v>
      </c>
      <c r="O158" s="135"/>
      <c r="P158" s="136">
        <v>134.75</v>
      </c>
      <c r="Q158" s="62">
        <v>151</v>
      </c>
    </row>
    <row r="159" spans="1:17" ht="15.75" thickBot="1">
      <c r="A159" s="469" t="s">
        <v>117</v>
      </c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1"/>
      <c r="O159" s="135"/>
      <c r="P159" s="136"/>
      <c r="Q159" s="129"/>
    </row>
    <row r="160" spans="1:17" ht="19.5" thickBot="1">
      <c r="A160" s="498">
        <v>3</v>
      </c>
      <c r="B160" s="432"/>
      <c r="C160" s="312" t="s">
        <v>6</v>
      </c>
      <c r="D160" s="83" t="s">
        <v>79</v>
      </c>
      <c r="E160" s="536" t="s">
        <v>118</v>
      </c>
      <c r="F160" s="485">
        <v>200</v>
      </c>
      <c r="G160" s="524">
        <v>52</v>
      </c>
      <c r="H160" s="504">
        <v>1821</v>
      </c>
      <c r="I160" s="519">
        <v>11</v>
      </c>
      <c r="J160" s="155">
        <f t="shared" si="20"/>
        <v>127.4</v>
      </c>
      <c r="K160" s="86">
        <f t="shared" si="21"/>
        <v>121.03</v>
      </c>
      <c r="L160" s="147">
        <f t="shared" si="22"/>
        <v>102.9</v>
      </c>
      <c r="M160" s="228">
        <f>ROUND(93*1.05,0)</f>
        <v>98</v>
      </c>
      <c r="N160" s="137">
        <f t="shared" si="19"/>
        <v>81.67</v>
      </c>
      <c r="O160" s="156">
        <v>75.83</v>
      </c>
      <c r="P160" s="136"/>
      <c r="Q160" s="129"/>
    </row>
    <row r="161" spans="1:17" ht="19.5" thickBot="1">
      <c r="A161" s="499"/>
      <c r="B161" s="433"/>
      <c r="C161" s="206" t="s">
        <v>12</v>
      </c>
      <c r="D161" s="193"/>
      <c r="E161" s="537"/>
      <c r="F161" s="486"/>
      <c r="G161" s="525"/>
      <c r="H161" s="505"/>
      <c r="I161" s="520"/>
      <c r="J161" s="172">
        <f>M161*1.3</f>
        <v>152.1</v>
      </c>
      <c r="K161" s="173">
        <f>J161*0.95</f>
        <v>144.49499999999998</v>
      </c>
      <c r="L161" s="174">
        <f>M161*1.05</f>
        <v>122.85000000000001</v>
      </c>
      <c r="M161" s="173">
        <f>ROUND(111*1.05,0)</f>
        <v>117</v>
      </c>
      <c r="N161" s="215">
        <f>ROUND(M161/1.2,2)</f>
        <v>97.5</v>
      </c>
      <c r="O161" s="156">
        <v>90.83</v>
      </c>
      <c r="P161" s="136"/>
      <c r="Q161" s="129"/>
    </row>
    <row r="162" spans="1:17" ht="30.75" thickBot="1">
      <c r="A162" s="499"/>
      <c r="B162" s="433"/>
      <c r="C162" s="206" t="s">
        <v>44</v>
      </c>
      <c r="D162" s="193"/>
      <c r="E162" s="537"/>
      <c r="F162" s="486"/>
      <c r="G162" s="525"/>
      <c r="H162" s="505"/>
      <c r="I162" s="520"/>
      <c r="J162" s="176">
        <f>M162*1.3</f>
        <v>152.1</v>
      </c>
      <c r="K162" s="3">
        <f>J162*0.95</f>
        <v>144.49499999999998</v>
      </c>
      <c r="L162" s="31">
        <f>M162*1.05</f>
        <v>122.85000000000001</v>
      </c>
      <c r="M162" s="3">
        <f>ROUND(111*1.05,0)</f>
        <v>117</v>
      </c>
      <c r="N162" s="219">
        <f>ROUND(M162/1.2,2)</f>
        <v>97.5</v>
      </c>
      <c r="O162" s="156">
        <v>90.83</v>
      </c>
      <c r="P162" s="136"/>
      <c r="Q162" s="129"/>
    </row>
    <row r="163" spans="1:17" ht="30.75" thickBot="1">
      <c r="A163" s="499"/>
      <c r="B163" s="434"/>
      <c r="C163" s="204" t="s">
        <v>38</v>
      </c>
      <c r="D163" s="99"/>
      <c r="E163" s="537"/>
      <c r="F163" s="486"/>
      <c r="G163" s="525"/>
      <c r="H163" s="505"/>
      <c r="I163" s="520"/>
      <c r="J163" s="176">
        <f t="shared" si="20"/>
        <v>152.1</v>
      </c>
      <c r="K163" s="3">
        <f t="shared" si="21"/>
        <v>144.49499999999998</v>
      </c>
      <c r="L163" s="31">
        <f t="shared" si="22"/>
        <v>122.85000000000001</v>
      </c>
      <c r="M163" s="3">
        <f>ROUND(111*1.05,0)</f>
        <v>117</v>
      </c>
      <c r="N163" s="219">
        <f t="shared" si="19"/>
        <v>97.5</v>
      </c>
      <c r="O163" s="156">
        <v>90.83</v>
      </c>
      <c r="P163" s="136"/>
      <c r="Q163" s="129"/>
    </row>
    <row r="164" spans="1:17" ht="45.75" thickBot="1">
      <c r="A164" s="499"/>
      <c r="B164" s="435"/>
      <c r="C164" s="426" t="s">
        <v>93</v>
      </c>
      <c r="D164" s="17"/>
      <c r="E164" s="537"/>
      <c r="F164" s="486"/>
      <c r="G164" s="525"/>
      <c r="H164" s="505"/>
      <c r="I164" s="520"/>
      <c r="J164" s="176">
        <f>M164*1.3</f>
        <v>152.1</v>
      </c>
      <c r="K164" s="3">
        <f>J164*0.95</f>
        <v>144.49499999999998</v>
      </c>
      <c r="L164" s="31">
        <f>M164*1.05</f>
        <v>122.85000000000001</v>
      </c>
      <c r="M164" s="3">
        <f>ROUND(111*1.05,0)</f>
        <v>117</v>
      </c>
      <c r="N164" s="219">
        <f>ROUND(M164/1.2,2)</f>
        <v>97.5</v>
      </c>
      <c r="O164" s="156">
        <v>90.83</v>
      </c>
      <c r="P164" s="136"/>
      <c r="Q164" s="129"/>
    </row>
    <row r="165" spans="1:17" ht="60.75" thickBot="1">
      <c r="A165" s="500"/>
      <c r="B165" s="436"/>
      <c r="C165" s="334" t="s">
        <v>86</v>
      </c>
      <c r="D165" s="106"/>
      <c r="E165" s="538"/>
      <c r="F165" s="487"/>
      <c r="G165" s="526"/>
      <c r="H165" s="506"/>
      <c r="I165" s="521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23">
        <f t="shared" si="19"/>
        <v>97.5</v>
      </c>
      <c r="O165" s="156">
        <v>90.83</v>
      </c>
      <c r="P165" s="136"/>
      <c r="Q165" s="129"/>
    </row>
    <row r="166" spans="1:17" ht="15.75" thickBot="1">
      <c r="A166" s="516" t="s">
        <v>31</v>
      </c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8"/>
      <c r="O166" s="135"/>
      <c r="P166" s="136">
        <v>0</v>
      </c>
      <c r="Q166" s="58"/>
    </row>
    <row r="167" spans="1:17" ht="19.5" thickBot="1">
      <c r="A167" s="634">
        <v>4</v>
      </c>
      <c r="B167" s="428"/>
      <c r="C167" s="128" t="s">
        <v>6</v>
      </c>
      <c r="D167" s="37" t="s">
        <v>79</v>
      </c>
      <c r="E167" s="366" t="s">
        <v>64</v>
      </c>
      <c r="F167" s="539">
        <v>60</v>
      </c>
      <c r="G167" s="318">
        <v>60</v>
      </c>
      <c r="H167" s="315">
        <v>1498</v>
      </c>
      <c r="I167" s="349">
        <v>13</v>
      </c>
      <c r="J167" s="85">
        <f>ROUND(M167+M167*R167,0)</f>
        <v>322</v>
      </c>
      <c r="K167" s="86">
        <f>J167*0.97</f>
        <v>312.33999999999997</v>
      </c>
      <c r="L167" s="74">
        <f>M167*1.03</f>
        <v>331.66</v>
      </c>
      <c r="M167" s="86">
        <f>ROUND(307*1.05,0)</f>
        <v>322</v>
      </c>
      <c r="N167" s="87">
        <f>ROUND(M167/1.2,2)</f>
        <v>268.33</v>
      </c>
      <c r="O167" s="135"/>
      <c r="P167" s="136">
        <v>211.86</v>
      </c>
      <c r="Q167" s="64">
        <v>238</v>
      </c>
    </row>
    <row r="168" spans="1:17" ht="18.75">
      <c r="A168" s="499"/>
      <c r="B168" s="429"/>
      <c r="C168" s="350" t="s">
        <v>44</v>
      </c>
      <c r="D168" s="96"/>
      <c r="E168" s="367" t="s">
        <v>64</v>
      </c>
      <c r="F168" s="540"/>
      <c r="G168" s="134">
        <v>60</v>
      </c>
      <c r="H168" s="102">
        <v>1498</v>
      </c>
      <c r="I168" s="103">
        <v>13</v>
      </c>
      <c r="J168" s="172">
        <f>ROUND(M168+M168*R168,0)</f>
        <v>431</v>
      </c>
      <c r="K168" s="173">
        <f>J168*0.95</f>
        <v>409.45</v>
      </c>
      <c r="L168" s="174">
        <f>M168*1.04</f>
        <v>448.24</v>
      </c>
      <c r="M168" s="173">
        <f>ROUND(410*1.05,0)</f>
        <v>431</v>
      </c>
      <c r="N168" s="175">
        <f>ROUND(M168/1.2,2)</f>
        <v>359.17</v>
      </c>
      <c r="O168" s="135"/>
      <c r="P168" s="136">
        <v>284.75</v>
      </c>
      <c r="Q168" s="64">
        <v>320</v>
      </c>
    </row>
    <row r="169" spans="1:17" ht="18.75">
      <c r="A169" s="499"/>
      <c r="B169" s="430"/>
      <c r="C169" s="351" t="s">
        <v>38</v>
      </c>
      <c r="D169" s="97"/>
      <c r="E169" s="368" t="s">
        <v>64</v>
      </c>
      <c r="F169" s="540"/>
      <c r="G169" s="132">
        <v>60</v>
      </c>
      <c r="H169" s="104">
        <v>1498</v>
      </c>
      <c r="I169" s="105">
        <v>13</v>
      </c>
      <c r="J169" s="176">
        <f>ROUND(M169+M169*R169,0)</f>
        <v>431</v>
      </c>
      <c r="K169" s="3">
        <f>J169*0.95</f>
        <v>409.45</v>
      </c>
      <c r="L169" s="31">
        <f>M169*1.04</f>
        <v>448.24</v>
      </c>
      <c r="M169" s="3">
        <f>ROUND(410*1.05,0)</f>
        <v>431</v>
      </c>
      <c r="N169" s="177">
        <f>ROUND(M169/1.2,2)</f>
        <v>359.17</v>
      </c>
      <c r="O169" s="135"/>
      <c r="P169" s="136">
        <v>284.75</v>
      </c>
      <c r="Q169" s="64">
        <v>320</v>
      </c>
    </row>
    <row r="170" spans="1:17" ht="19.5" thickBot="1">
      <c r="A170" s="500"/>
      <c r="B170" s="431"/>
      <c r="C170" s="352" t="s">
        <v>12</v>
      </c>
      <c r="D170" s="154"/>
      <c r="E170" s="369" t="s">
        <v>64</v>
      </c>
      <c r="F170" s="541"/>
      <c r="G170" s="133">
        <v>60</v>
      </c>
      <c r="H170" s="107">
        <v>1498</v>
      </c>
      <c r="I170" s="108">
        <v>13</v>
      </c>
      <c r="J170" s="178">
        <f>ROUND(M170+M170*R170,0)</f>
        <v>431</v>
      </c>
      <c r="K170" s="4">
        <f>J170*0.95</f>
        <v>409.45</v>
      </c>
      <c r="L170" s="179">
        <f>M170*1.04</f>
        <v>448.24</v>
      </c>
      <c r="M170" s="4">
        <f>ROUND(410*1.05,0)</f>
        <v>431</v>
      </c>
      <c r="N170" s="180">
        <f>ROUND(M170/1.2,2)</f>
        <v>359.17</v>
      </c>
      <c r="O170" s="135"/>
      <c r="P170" s="136">
        <v>284.75</v>
      </c>
      <c r="Q170" s="65">
        <v>320</v>
      </c>
    </row>
    <row r="171" spans="1:17" ht="19.5" thickBot="1">
      <c r="A171" s="66"/>
      <c r="B171" s="75"/>
      <c r="C171" s="75"/>
      <c r="D171" s="67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1.75" thickBot="1">
      <c r="A172" s="482" t="s">
        <v>140</v>
      </c>
      <c r="B172" s="483"/>
      <c r="C172" s="483"/>
      <c r="D172" s="483"/>
      <c r="E172" s="483"/>
      <c r="F172" s="483"/>
      <c r="G172" s="483"/>
      <c r="H172" s="483"/>
      <c r="I172" s="483"/>
      <c r="J172" s="483"/>
      <c r="K172" s="483"/>
      <c r="L172" s="483"/>
      <c r="M172" s="483"/>
      <c r="N172" s="483"/>
      <c r="O172" s="483"/>
      <c r="P172" s="483"/>
      <c r="Q172" s="484"/>
    </row>
    <row r="173" spans="1:17" ht="123" thickBot="1">
      <c r="A173" s="76" t="s">
        <v>0</v>
      </c>
      <c r="B173" s="501" t="s">
        <v>5</v>
      </c>
      <c r="C173" s="502"/>
      <c r="D173" s="503"/>
      <c r="E173" s="77" t="s">
        <v>7</v>
      </c>
      <c r="F173" s="77" t="s">
        <v>16</v>
      </c>
      <c r="G173" s="77" t="s">
        <v>138</v>
      </c>
      <c r="H173" s="78" t="s">
        <v>8</v>
      </c>
      <c r="I173" s="77" t="s">
        <v>25</v>
      </c>
      <c r="J173" s="79" t="s">
        <v>33</v>
      </c>
      <c r="K173" s="77" t="s">
        <v>56</v>
      </c>
      <c r="L173" s="78" t="s">
        <v>82</v>
      </c>
      <c r="M173" s="77" t="s">
        <v>53</v>
      </c>
      <c r="N173" s="80" t="s">
        <v>54</v>
      </c>
      <c r="O173" s="373">
        <v>1.05</v>
      </c>
      <c r="P173" s="77" t="s">
        <v>119</v>
      </c>
      <c r="Q173" s="77" t="s">
        <v>120</v>
      </c>
    </row>
    <row r="174" spans="1:17" ht="15.75" thickBot="1">
      <c r="A174" s="469" t="s">
        <v>34</v>
      </c>
      <c r="B174" s="470"/>
      <c r="C174" s="470"/>
      <c r="D174" s="470"/>
      <c r="E174" s="470"/>
      <c r="F174" s="470"/>
      <c r="G174" s="470"/>
      <c r="H174" s="470"/>
      <c r="I174" s="470"/>
      <c r="J174" s="470"/>
      <c r="K174" s="470"/>
      <c r="L174" s="470"/>
      <c r="M174" s="470"/>
      <c r="N174" s="471"/>
      <c r="O174" s="374"/>
      <c r="P174" s="375">
        <v>0</v>
      </c>
      <c r="Q174" s="376"/>
    </row>
    <row r="175" spans="1:17" ht="18.75">
      <c r="A175" s="498">
        <v>1</v>
      </c>
      <c r="B175" s="320"/>
      <c r="C175" s="243" t="s">
        <v>15</v>
      </c>
      <c r="D175" s="109" t="s">
        <v>113</v>
      </c>
      <c r="E175" s="245" t="s">
        <v>40</v>
      </c>
      <c r="F175" s="361">
        <v>60</v>
      </c>
      <c r="G175" s="256">
        <v>12.24</v>
      </c>
      <c r="H175" s="237">
        <v>1650</v>
      </c>
      <c r="I175" s="113">
        <v>12</v>
      </c>
      <c r="J175" s="172">
        <f>ROUND(M175+M175*R175,0)</f>
        <v>1024</v>
      </c>
      <c r="K175" s="173">
        <f>ROUND(J175-(J175*S175),0)</f>
        <v>1024</v>
      </c>
      <c r="L175" s="174">
        <f>M175*1.04</f>
        <v>1064.96</v>
      </c>
      <c r="M175" s="173">
        <f>ROUND(975*1.05,0)</f>
        <v>1024</v>
      </c>
      <c r="N175" s="175">
        <f>ROUND(M175/1.2,2)</f>
        <v>853.33</v>
      </c>
      <c r="O175" s="374"/>
      <c r="P175" s="375"/>
      <c r="Q175" s="262"/>
    </row>
    <row r="176" spans="1:17" ht="19.5" thickBot="1">
      <c r="A176" s="500"/>
      <c r="B176" s="321"/>
      <c r="C176" s="244" t="s">
        <v>38</v>
      </c>
      <c r="D176" s="100" t="s">
        <v>113</v>
      </c>
      <c r="E176" s="246" t="s">
        <v>40</v>
      </c>
      <c r="F176" s="362">
        <v>60</v>
      </c>
      <c r="G176" s="257">
        <v>12.24</v>
      </c>
      <c r="H176" s="239">
        <v>1650</v>
      </c>
      <c r="I176" s="149">
        <v>12</v>
      </c>
      <c r="J176" s="178">
        <f>ROUND(M176+M176*R176,0)</f>
        <v>1024</v>
      </c>
      <c r="K176" s="4">
        <f>ROUND(J176-(J176*S176),0)</f>
        <v>1024</v>
      </c>
      <c r="L176" s="179">
        <f>M176*1.04</f>
        <v>1064.96</v>
      </c>
      <c r="M176" s="4">
        <f>ROUND(975*1.05,0)</f>
        <v>1024</v>
      </c>
      <c r="N176" s="180">
        <f>ROUND(M176/1.2,2)</f>
        <v>853.33</v>
      </c>
      <c r="O176" s="374"/>
      <c r="P176" s="375"/>
      <c r="Q176" s="262"/>
    </row>
    <row r="177" spans="1:17" ht="15.75" thickBot="1">
      <c r="A177" s="469" t="s">
        <v>10</v>
      </c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1"/>
      <c r="O177" s="374"/>
      <c r="P177" s="375">
        <v>0</v>
      </c>
      <c r="Q177" s="377"/>
    </row>
    <row r="178" spans="1:17" ht="75.75" thickBot="1">
      <c r="A178" s="150">
        <v>2</v>
      </c>
      <c r="B178" s="81"/>
      <c r="C178" s="114" t="s">
        <v>6</v>
      </c>
      <c r="D178" s="115" t="s">
        <v>113</v>
      </c>
      <c r="E178" s="116" t="s">
        <v>129</v>
      </c>
      <c r="F178" s="116">
        <v>80</v>
      </c>
      <c r="G178" s="130">
        <v>11.52</v>
      </c>
      <c r="H178" s="111">
        <v>2159</v>
      </c>
      <c r="I178" s="112">
        <v>9</v>
      </c>
      <c r="J178" s="85">
        <f>ROUND(M178+M178*R178,0)</f>
        <v>1078</v>
      </c>
      <c r="K178" s="86">
        <f>ROUND(J178-(J178*S178),0)</f>
        <v>1078</v>
      </c>
      <c r="L178" s="74">
        <f>M178*1.03</f>
        <v>1110.3399999999999</v>
      </c>
      <c r="M178" s="86">
        <f>ROUND(1027*1.05,0)</f>
        <v>1078</v>
      </c>
      <c r="N178" s="87">
        <f>ROUND(M178/1.2,2)</f>
        <v>898.33</v>
      </c>
      <c r="O178" s="374"/>
      <c r="P178" s="375">
        <v>711.86</v>
      </c>
      <c r="Q178" s="49">
        <v>800</v>
      </c>
    </row>
    <row r="179" spans="1:17" ht="15.75" thickBot="1">
      <c r="A179" s="469" t="s">
        <v>2</v>
      </c>
      <c r="B179" s="470"/>
      <c r="C179" s="470"/>
      <c r="D179" s="470"/>
      <c r="E179" s="470"/>
      <c r="F179" s="470"/>
      <c r="G179" s="470"/>
      <c r="H179" s="470"/>
      <c r="I179" s="470"/>
      <c r="J179" s="470"/>
      <c r="K179" s="470"/>
      <c r="L179" s="470"/>
      <c r="M179" s="470"/>
      <c r="N179" s="471"/>
      <c r="O179" s="374"/>
      <c r="P179" s="375">
        <v>0</v>
      </c>
      <c r="Q179" s="377"/>
    </row>
    <row r="180" spans="1:17" ht="18.75">
      <c r="A180" s="461">
        <v>3</v>
      </c>
      <c r="B180" s="450"/>
      <c r="C180" s="542" t="s">
        <v>6</v>
      </c>
      <c r="D180" s="109" t="s">
        <v>113</v>
      </c>
      <c r="E180" s="531" t="s">
        <v>17</v>
      </c>
      <c r="F180" s="320">
        <v>60</v>
      </c>
      <c r="G180" s="166">
        <v>12</v>
      </c>
      <c r="H180" s="117">
        <v>1654</v>
      </c>
      <c r="I180" s="164">
        <v>12</v>
      </c>
      <c r="J180" s="172">
        <f t="shared" ref="J180:J191" si="24">ROUND(M180+M180*R180,0)</f>
        <v>969</v>
      </c>
      <c r="K180" s="173">
        <f t="shared" ref="K180:K191" si="25">ROUND(J180-(J180*S180),0)</f>
        <v>969</v>
      </c>
      <c r="L180" s="174">
        <f>M180*1.03</f>
        <v>998.07</v>
      </c>
      <c r="M180" s="173">
        <f>ROUND(923*1.05,0)</f>
        <v>969</v>
      </c>
      <c r="N180" s="215">
        <f t="shared" ref="N180:N191" si="26">ROUND(M180/1.2,2)</f>
        <v>807.5</v>
      </c>
      <c r="O180" s="300"/>
      <c r="P180" s="301">
        <v>640.67999999999995</v>
      </c>
      <c r="Q180" s="19">
        <v>720</v>
      </c>
    </row>
    <row r="181" spans="1:17" ht="18.75">
      <c r="A181" s="462"/>
      <c r="B181" s="451"/>
      <c r="C181" s="543"/>
      <c r="D181" s="98" t="s">
        <v>113</v>
      </c>
      <c r="E181" s="532"/>
      <c r="F181" s="386">
        <v>70</v>
      </c>
      <c r="G181" s="167">
        <v>11</v>
      </c>
      <c r="H181" s="119">
        <v>1773</v>
      </c>
      <c r="I181" s="165">
        <v>11</v>
      </c>
      <c r="J181" s="176">
        <f t="shared" si="24"/>
        <v>1024</v>
      </c>
      <c r="K181" s="3">
        <f t="shared" si="25"/>
        <v>1024</v>
      </c>
      <c r="L181" s="31">
        <f>M181*1.03</f>
        <v>1054.72</v>
      </c>
      <c r="M181" s="3">
        <f>ROUND(975*1.05,0)</f>
        <v>1024</v>
      </c>
      <c r="N181" s="177">
        <f t="shared" si="26"/>
        <v>853.33</v>
      </c>
      <c r="O181" s="302"/>
      <c r="P181" s="303">
        <v>676.27</v>
      </c>
      <c r="Q181" s="42">
        <v>760</v>
      </c>
    </row>
    <row r="182" spans="1:17" ht="19.5" thickBot="1">
      <c r="A182" s="462"/>
      <c r="B182" s="460"/>
      <c r="C182" s="544"/>
      <c r="D182" s="356" t="s">
        <v>113</v>
      </c>
      <c r="E182" s="532"/>
      <c r="F182" s="321">
        <v>80</v>
      </c>
      <c r="G182" s="385">
        <v>10</v>
      </c>
      <c r="H182" s="239">
        <v>1842</v>
      </c>
      <c r="I182" s="125">
        <v>10</v>
      </c>
      <c r="J182" s="178">
        <f t="shared" si="24"/>
        <v>1146</v>
      </c>
      <c r="K182" s="4">
        <f t="shared" si="25"/>
        <v>1146</v>
      </c>
      <c r="L182" s="179">
        <f>M182*1.03</f>
        <v>1180.3800000000001</v>
      </c>
      <c r="M182" s="4">
        <f>ROUND(1091*1.05,0)</f>
        <v>1146</v>
      </c>
      <c r="N182" s="180">
        <f t="shared" si="26"/>
        <v>955</v>
      </c>
      <c r="O182" s="304"/>
      <c r="P182" s="305">
        <v>756.78</v>
      </c>
      <c r="Q182" s="50">
        <v>850</v>
      </c>
    </row>
    <row r="183" spans="1:17" ht="18.75">
      <c r="A183" s="462"/>
      <c r="B183" s="472"/>
      <c r="C183" s="473" t="s">
        <v>12</v>
      </c>
      <c r="D183" s="109" t="s">
        <v>113</v>
      </c>
      <c r="E183" s="532"/>
      <c r="F183" s="320">
        <v>60</v>
      </c>
      <c r="G183" s="166">
        <v>12</v>
      </c>
      <c r="H183" s="117">
        <v>1654</v>
      </c>
      <c r="I183" s="164">
        <v>12</v>
      </c>
      <c r="J183" s="306">
        <f t="shared" si="24"/>
        <v>1184</v>
      </c>
      <c r="K183" s="307">
        <f t="shared" si="25"/>
        <v>1184</v>
      </c>
      <c r="L183" s="174">
        <f>M183*1.04</f>
        <v>1231.3600000000001</v>
      </c>
      <c r="M183" s="173">
        <f>ROUND(1128*1.05,0)</f>
        <v>1184</v>
      </c>
      <c r="N183" s="308">
        <f t="shared" si="26"/>
        <v>986.67</v>
      </c>
      <c r="O183" s="300"/>
      <c r="P183" s="301">
        <v>783.05</v>
      </c>
      <c r="Q183" s="19">
        <v>880</v>
      </c>
    </row>
    <row r="184" spans="1:17" ht="18.75">
      <c r="A184" s="462"/>
      <c r="B184" s="459"/>
      <c r="C184" s="474"/>
      <c r="D184" s="98" t="s">
        <v>113</v>
      </c>
      <c r="E184" s="532"/>
      <c r="F184" s="386">
        <v>70</v>
      </c>
      <c r="G184" s="167">
        <v>11</v>
      </c>
      <c r="H184" s="119">
        <v>1773</v>
      </c>
      <c r="I184" s="165">
        <v>11</v>
      </c>
      <c r="J184" s="176">
        <f t="shared" si="24"/>
        <v>1212</v>
      </c>
      <c r="K184" s="3">
        <f t="shared" si="25"/>
        <v>1212</v>
      </c>
      <c r="L184" s="31">
        <f t="shared" ref="L184:L191" si="27">M184*1.04</f>
        <v>1260.48</v>
      </c>
      <c r="M184" s="3">
        <f>ROUND(1154*1.05,0)</f>
        <v>1212</v>
      </c>
      <c r="N184" s="177">
        <f t="shared" si="26"/>
        <v>1010</v>
      </c>
      <c r="O184" s="302"/>
      <c r="P184" s="303">
        <v>800.85</v>
      </c>
      <c r="Q184" s="42">
        <v>900</v>
      </c>
    </row>
    <row r="185" spans="1:17" ht="19.5" thickBot="1">
      <c r="A185" s="462"/>
      <c r="B185" s="460"/>
      <c r="C185" s="475"/>
      <c r="D185" s="100" t="s">
        <v>113</v>
      </c>
      <c r="E185" s="532"/>
      <c r="F185" s="321">
        <v>80</v>
      </c>
      <c r="G185" s="385">
        <v>10</v>
      </c>
      <c r="H185" s="239">
        <v>1842</v>
      </c>
      <c r="I185" s="125">
        <v>10</v>
      </c>
      <c r="J185" s="178">
        <f t="shared" si="24"/>
        <v>1238</v>
      </c>
      <c r="K185" s="4">
        <f t="shared" si="25"/>
        <v>1238</v>
      </c>
      <c r="L185" s="179">
        <f t="shared" si="27"/>
        <v>1287.52</v>
      </c>
      <c r="M185" s="4">
        <f>ROUND(1179*1.05,0)</f>
        <v>1238</v>
      </c>
      <c r="N185" s="180">
        <f t="shared" si="26"/>
        <v>1031.67</v>
      </c>
      <c r="O185" s="304"/>
      <c r="P185" s="305">
        <v>818.64</v>
      </c>
      <c r="Q185" s="50">
        <v>920</v>
      </c>
    </row>
    <row r="186" spans="1:17" ht="18.75">
      <c r="A186" s="462"/>
      <c r="B186" s="472"/>
      <c r="C186" s="534" t="s">
        <v>13</v>
      </c>
      <c r="D186" s="109" t="s">
        <v>113</v>
      </c>
      <c r="E186" s="532"/>
      <c r="F186" s="320">
        <v>60</v>
      </c>
      <c r="G186" s="166">
        <v>12</v>
      </c>
      <c r="H186" s="117">
        <v>1654</v>
      </c>
      <c r="I186" s="164">
        <v>12</v>
      </c>
      <c r="J186" s="306">
        <f t="shared" si="24"/>
        <v>1184</v>
      </c>
      <c r="K186" s="307">
        <f t="shared" si="25"/>
        <v>1184</v>
      </c>
      <c r="L186" s="174">
        <f t="shared" si="27"/>
        <v>1231.3600000000001</v>
      </c>
      <c r="M186" s="173">
        <f>ROUND(1128*1.05,0)</f>
        <v>1184</v>
      </c>
      <c r="N186" s="308">
        <f t="shared" si="26"/>
        <v>986.67</v>
      </c>
      <c r="O186" s="300"/>
      <c r="P186" s="301">
        <v>783.05</v>
      </c>
      <c r="Q186" s="19">
        <v>880</v>
      </c>
    </row>
    <row r="187" spans="1:17" ht="18.75">
      <c r="A187" s="462"/>
      <c r="B187" s="476"/>
      <c r="C187" s="474"/>
      <c r="D187" s="98" t="s">
        <v>113</v>
      </c>
      <c r="E187" s="532"/>
      <c r="F187" s="386">
        <v>70</v>
      </c>
      <c r="G187" s="167">
        <v>11</v>
      </c>
      <c r="H187" s="119">
        <v>1773</v>
      </c>
      <c r="I187" s="165">
        <v>11</v>
      </c>
      <c r="J187" s="176">
        <f t="shared" si="24"/>
        <v>1212</v>
      </c>
      <c r="K187" s="3">
        <f t="shared" si="25"/>
        <v>1212</v>
      </c>
      <c r="L187" s="31">
        <f t="shared" si="27"/>
        <v>1260.48</v>
      </c>
      <c r="M187" s="3">
        <f>ROUND(1154*1.05,0)</f>
        <v>1212</v>
      </c>
      <c r="N187" s="177">
        <f t="shared" si="26"/>
        <v>1010</v>
      </c>
      <c r="O187" s="302"/>
      <c r="P187" s="303">
        <v>800.85</v>
      </c>
      <c r="Q187" s="42">
        <v>900</v>
      </c>
    </row>
    <row r="188" spans="1:17" ht="19.5" thickBot="1">
      <c r="A188" s="462"/>
      <c r="B188" s="477"/>
      <c r="C188" s="535"/>
      <c r="D188" s="100" t="s">
        <v>113</v>
      </c>
      <c r="E188" s="532"/>
      <c r="F188" s="321">
        <v>80</v>
      </c>
      <c r="G188" s="385">
        <v>10</v>
      </c>
      <c r="H188" s="239">
        <v>1842</v>
      </c>
      <c r="I188" s="125">
        <v>10</v>
      </c>
      <c r="J188" s="178">
        <f t="shared" si="24"/>
        <v>1238</v>
      </c>
      <c r="K188" s="4">
        <f t="shared" si="25"/>
        <v>1238</v>
      </c>
      <c r="L188" s="179">
        <f t="shared" si="27"/>
        <v>1287.52</v>
      </c>
      <c r="M188" s="4">
        <f>ROUND(1179*1.05,0)</f>
        <v>1238</v>
      </c>
      <c r="N188" s="180">
        <f t="shared" si="26"/>
        <v>1031.67</v>
      </c>
      <c r="O188" s="304"/>
      <c r="P188" s="305">
        <v>818.64</v>
      </c>
      <c r="Q188" s="50">
        <v>920</v>
      </c>
    </row>
    <row r="189" spans="1:17" ht="18.75">
      <c r="A189" s="462"/>
      <c r="B189" s="450"/>
      <c r="C189" s="542" t="s">
        <v>28</v>
      </c>
      <c r="D189" s="348" t="s">
        <v>113</v>
      </c>
      <c r="E189" s="532"/>
      <c r="F189" s="320">
        <v>60</v>
      </c>
      <c r="G189" s="166">
        <v>12</v>
      </c>
      <c r="H189" s="117">
        <v>1654</v>
      </c>
      <c r="I189" s="164">
        <v>12</v>
      </c>
      <c r="J189" s="306">
        <f t="shared" si="24"/>
        <v>1184</v>
      </c>
      <c r="K189" s="307">
        <f t="shared" si="25"/>
        <v>1184</v>
      </c>
      <c r="L189" s="174">
        <f t="shared" si="27"/>
        <v>1231.3600000000001</v>
      </c>
      <c r="M189" s="173">
        <f>ROUND(1128*1.05,0)</f>
        <v>1184</v>
      </c>
      <c r="N189" s="308">
        <f t="shared" si="26"/>
        <v>986.67</v>
      </c>
      <c r="O189" s="300"/>
      <c r="P189" s="301">
        <v>783.05</v>
      </c>
      <c r="Q189" s="19">
        <v>880</v>
      </c>
    </row>
    <row r="190" spans="1:17" ht="18.75">
      <c r="A190" s="462"/>
      <c r="B190" s="459"/>
      <c r="C190" s="543"/>
      <c r="D190" s="98" t="s">
        <v>113</v>
      </c>
      <c r="E190" s="532"/>
      <c r="F190" s="386">
        <v>70</v>
      </c>
      <c r="G190" s="167">
        <v>11</v>
      </c>
      <c r="H190" s="119">
        <v>1773</v>
      </c>
      <c r="I190" s="165">
        <v>11</v>
      </c>
      <c r="J190" s="176">
        <f t="shared" si="24"/>
        <v>1212</v>
      </c>
      <c r="K190" s="3">
        <f t="shared" si="25"/>
        <v>1212</v>
      </c>
      <c r="L190" s="31">
        <f t="shared" si="27"/>
        <v>1260.48</v>
      </c>
      <c r="M190" s="3">
        <f>ROUND(1154*1.05,0)</f>
        <v>1212</v>
      </c>
      <c r="N190" s="177">
        <f t="shared" si="26"/>
        <v>1010</v>
      </c>
      <c r="O190" s="302"/>
      <c r="P190" s="303">
        <v>800.85</v>
      </c>
      <c r="Q190" s="42">
        <v>900</v>
      </c>
    </row>
    <row r="191" spans="1:17" ht="19.5" thickBot="1">
      <c r="A191" s="463"/>
      <c r="B191" s="460"/>
      <c r="C191" s="544"/>
      <c r="D191" s="100" t="s">
        <v>113</v>
      </c>
      <c r="E191" s="533"/>
      <c r="F191" s="321">
        <v>80</v>
      </c>
      <c r="G191" s="385">
        <v>10</v>
      </c>
      <c r="H191" s="239">
        <v>1842</v>
      </c>
      <c r="I191" s="125">
        <v>10</v>
      </c>
      <c r="J191" s="178">
        <f t="shared" si="24"/>
        <v>1238</v>
      </c>
      <c r="K191" s="4">
        <f t="shared" si="25"/>
        <v>1238</v>
      </c>
      <c r="L191" s="179">
        <f t="shared" si="27"/>
        <v>1287.52</v>
      </c>
      <c r="M191" s="4">
        <f>ROUND(1179*1.05,0)</f>
        <v>1238</v>
      </c>
      <c r="N191" s="180">
        <f t="shared" si="26"/>
        <v>1031.67</v>
      </c>
      <c r="O191" s="304"/>
      <c r="P191" s="305">
        <v>818.64</v>
      </c>
      <c r="Q191" s="50">
        <v>920</v>
      </c>
    </row>
    <row r="192" spans="1:17" ht="15.75" thickBot="1">
      <c r="A192" s="469" t="s">
        <v>81</v>
      </c>
      <c r="B192" s="470"/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1"/>
      <c r="O192" s="374"/>
      <c r="P192" s="375">
        <v>0</v>
      </c>
      <c r="Q192" s="378"/>
    </row>
    <row r="193" spans="1:17" ht="18.75">
      <c r="A193" s="574">
        <v>4</v>
      </c>
      <c r="B193" s="126"/>
      <c r="C193" s="254" t="s">
        <v>6</v>
      </c>
      <c r="D193" s="109" t="s">
        <v>113</v>
      </c>
      <c r="E193" s="243" t="s">
        <v>41</v>
      </c>
      <c r="F193" s="495">
        <v>60</v>
      </c>
      <c r="G193" s="256">
        <v>10.38</v>
      </c>
      <c r="H193" s="237">
        <v>1448</v>
      </c>
      <c r="I193" s="248">
        <v>13</v>
      </c>
      <c r="J193" s="172">
        <f>ROUND(M193+M193*R193,0)</f>
        <v>1131</v>
      </c>
      <c r="K193" s="173">
        <f>ROUND(J193-(J193*S193),0)</f>
        <v>1131</v>
      </c>
      <c r="L193" s="174">
        <f>M193*1.03</f>
        <v>1164.93</v>
      </c>
      <c r="M193" s="173">
        <f>ROUND(1077*1.05,0)</f>
        <v>1131</v>
      </c>
      <c r="N193" s="215">
        <f>ROUND(M193/1.2,2)</f>
        <v>942.5</v>
      </c>
      <c r="O193" s="300"/>
      <c r="P193" s="301">
        <v>747.46</v>
      </c>
      <c r="Q193" s="19">
        <v>840</v>
      </c>
    </row>
    <row r="194" spans="1:17" ht="19.5" thickBot="1">
      <c r="A194" s="575"/>
      <c r="B194" s="127"/>
      <c r="C194" s="255" t="s">
        <v>12</v>
      </c>
      <c r="D194" s="100" t="s">
        <v>113</v>
      </c>
      <c r="E194" s="244" t="s">
        <v>41</v>
      </c>
      <c r="F194" s="497"/>
      <c r="G194" s="257">
        <v>10.38</v>
      </c>
      <c r="H194" s="239">
        <v>1448</v>
      </c>
      <c r="I194" s="251">
        <v>13</v>
      </c>
      <c r="J194" s="178">
        <f>ROUND(M194+M194*R194,0)</f>
        <v>1173</v>
      </c>
      <c r="K194" s="4">
        <f>ROUND(J194-(J194*S194),0)</f>
        <v>1173</v>
      </c>
      <c r="L194" s="179">
        <f>M194*1.04</f>
        <v>1219.92</v>
      </c>
      <c r="M194" s="4">
        <f>ROUND(1117*1.05,0)</f>
        <v>1173</v>
      </c>
      <c r="N194" s="223">
        <f>ROUND(M194/1.2,2)</f>
        <v>977.5</v>
      </c>
      <c r="O194" s="304"/>
      <c r="P194" s="305">
        <v>774.58</v>
      </c>
      <c r="Q194" s="50">
        <v>870</v>
      </c>
    </row>
    <row r="195" spans="1:17" ht="16.5" thickBot="1">
      <c r="A195" s="492" t="s">
        <v>9</v>
      </c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4"/>
      <c r="O195" s="374"/>
      <c r="P195" s="375">
        <v>0</v>
      </c>
      <c r="Q195" s="379"/>
    </row>
    <row r="196" spans="1:17" ht="15.75" thickBot="1">
      <c r="A196" s="516" t="s">
        <v>27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8"/>
      <c r="O196" s="374"/>
      <c r="P196" s="375">
        <v>0</v>
      </c>
      <c r="Q196" s="377"/>
    </row>
    <row r="197" spans="1:17" ht="45.75" thickBot="1">
      <c r="A197" s="512">
        <v>1</v>
      </c>
      <c r="B197" s="166"/>
      <c r="C197" s="164" t="s">
        <v>98</v>
      </c>
      <c r="D197" s="109" t="s">
        <v>113</v>
      </c>
      <c r="E197" s="572" t="s">
        <v>22</v>
      </c>
      <c r="F197" s="472">
        <v>160</v>
      </c>
      <c r="G197" s="507">
        <v>5</v>
      </c>
      <c r="H197" s="488">
        <v>1887</v>
      </c>
      <c r="I197" s="527">
        <v>10</v>
      </c>
      <c r="J197" s="85">
        <f>ROUND(M197+M197*R197,0)</f>
        <v>1790</v>
      </c>
      <c r="K197" s="86">
        <f>ROUND(J197-(J197*S197),0)</f>
        <v>1790</v>
      </c>
      <c r="L197" s="74">
        <f>M197*1.05</f>
        <v>1879.5</v>
      </c>
      <c r="M197" s="86">
        <f>ROUND(1705*1.05,0)</f>
        <v>1790</v>
      </c>
      <c r="N197" s="137">
        <f>ROUND(M197/1.2,2)</f>
        <v>1491.67</v>
      </c>
      <c r="O197" s="374"/>
      <c r="P197" s="375">
        <v>1266.0999999999999</v>
      </c>
      <c r="Q197" s="49">
        <v>1450</v>
      </c>
    </row>
    <row r="198" spans="1:17" ht="60.75" thickBot="1">
      <c r="A198" s="514"/>
      <c r="B198" s="167"/>
      <c r="C198" s="165" t="s">
        <v>87</v>
      </c>
      <c r="D198" s="98" t="s">
        <v>113</v>
      </c>
      <c r="E198" s="573"/>
      <c r="F198" s="459"/>
      <c r="G198" s="508"/>
      <c r="H198" s="490"/>
      <c r="I198" s="529"/>
      <c r="J198" s="93">
        <f>ROUND(M198+M198*R198,0)</f>
        <v>1790</v>
      </c>
      <c r="K198" s="230">
        <f>ROUND(J198-(J198*S198),0)</f>
        <v>1790</v>
      </c>
      <c r="L198" s="74">
        <f>M198*1.05</f>
        <v>1879.5</v>
      </c>
      <c r="M198" s="86">
        <f>ROUND(1705*1.05,0)</f>
        <v>1790</v>
      </c>
      <c r="N198" s="138">
        <f>ROUND(M198/1.2,2)</f>
        <v>1491.67</v>
      </c>
      <c r="O198" s="374"/>
      <c r="P198" s="375">
        <v>1266.0999999999999</v>
      </c>
      <c r="Q198" s="56">
        <v>1450</v>
      </c>
    </row>
    <row r="199" spans="1:17" ht="45.75" thickBot="1">
      <c r="A199" s="514"/>
      <c r="B199" s="167"/>
      <c r="C199" s="165" t="s">
        <v>85</v>
      </c>
      <c r="D199" s="98" t="s">
        <v>113</v>
      </c>
      <c r="E199" s="573"/>
      <c r="F199" s="459"/>
      <c r="G199" s="508"/>
      <c r="H199" s="490"/>
      <c r="I199" s="529"/>
      <c r="J199" s="93">
        <f>ROUND(M199+M199*R199,0)</f>
        <v>1790</v>
      </c>
      <c r="K199" s="230">
        <f>ROUND(J199-(J199*S199),0)</f>
        <v>1790</v>
      </c>
      <c r="L199" s="74">
        <f>M199*1.05</f>
        <v>1879.5</v>
      </c>
      <c r="M199" s="86">
        <f>ROUND(1705*1.05,0)</f>
        <v>1790</v>
      </c>
      <c r="N199" s="138">
        <f>ROUND(M199/1.2,2)</f>
        <v>1491.67</v>
      </c>
      <c r="O199" s="374"/>
      <c r="P199" s="375">
        <v>1266.0999999999999</v>
      </c>
      <c r="Q199" s="49">
        <v>1450</v>
      </c>
    </row>
    <row r="200" spans="1:17" ht="75.75" thickBot="1">
      <c r="A200" s="514"/>
      <c r="B200" s="249"/>
      <c r="C200" s="165" t="s">
        <v>83</v>
      </c>
      <c r="D200" s="98" t="s">
        <v>113</v>
      </c>
      <c r="E200" s="573"/>
      <c r="F200" s="459"/>
      <c r="G200" s="508"/>
      <c r="H200" s="490"/>
      <c r="I200" s="529"/>
      <c r="J200" s="93">
        <f>ROUND(M200+M200*R200,0)</f>
        <v>1790</v>
      </c>
      <c r="K200" s="230">
        <f>ROUND(J200-(J200*S200),0)</f>
        <v>1790</v>
      </c>
      <c r="L200" s="74">
        <f>M200*1.05</f>
        <v>1879.5</v>
      </c>
      <c r="M200" s="86">
        <f>ROUND(1705*1.05,0)</f>
        <v>1790</v>
      </c>
      <c r="N200" s="138">
        <f>ROUND(M200/1.2,2)</f>
        <v>1491.67</v>
      </c>
      <c r="O200" s="374"/>
      <c r="P200" s="375">
        <v>1266.0999999999999</v>
      </c>
      <c r="Q200" s="49">
        <v>1450</v>
      </c>
    </row>
    <row r="201" spans="1:17" ht="19.5" thickBot="1">
      <c r="A201" s="515"/>
      <c r="B201" s="257"/>
      <c r="C201" s="251" t="s">
        <v>6</v>
      </c>
      <c r="D201" s="100" t="s">
        <v>113</v>
      </c>
      <c r="E201" s="244" t="s">
        <v>26</v>
      </c>
      <c r="F201" s="460"/>
      <c r="G201" s="257">
        <v>4.8</v>
      </c>
      <c r="H201" s="239">
        <v>1818</v>
      </c>
      <c r="I201" s="251">
        <v>11</v>
      </c>
      <c r="J201" s="93">
        <f>ROUND(M201+M201*R201,0)</f>
        <v>2155</v>
      </c>
      <c r="K201" s="230">
        <f>J201*0.97</f>
        <v>2090.35</v>
      </c>
      <c r="L201" s="94">
        <f>M201*1.03</f>
        <v>2219.65</v>
      </c>
      <c r="M201" s="86">
        <f>ROUND(2052*1.05,0)</f>
        <v>2155</v>
      </c>
      <c r="N201" s="138">
        <f>ROUND(M201/1.2,2)</f>
        <v>1795.83</v>
      </c>
      <c r="O201" s="374"/>
      <c r="P201" s="375">
        <v>1423.73</v>
      </c>
      <c r="Q201" s="14">
        <v>1600</v>
      </c>
    </row>
    <row r="202" spans="1:17" ht="16.5" thickBot="1">
      <c r="A202" s="492" t="s">
        <v>1</v>
      </c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4"/>
      <c r="O202" s="374"/>
      <c r="P202" s="375">
        <v>0</v>
      </c>
      <c r="Q202" s="379"/>
    </row>
    <row r="203" spans="1:17" ht="15.75" thickBot="1">
      <c r="A203" s="469" t="s">
        <v>31</v>
      </c>
      <c r="B203" s="470"/>
      <c r="C203" s="470"/>
      <c r="D203" s="470"/>
      <c r="E203" s="470"/>
      <c r="F203" s="470"/>
      <c r="G203" s="470"/>
      <c r="H203" s="470"/>
      <c r="I203" s="470"/>
      <c r="J203" s="470"/>
      <c r="K203" s="470"/>
      <c r="L203" s="470"/>
      <c r="M203" s="470"/>
      <c r="N203" s="471"/>
      <c r="O203" s="374"/>
      <c r="P203" s="375">
        <v>0</v>
      </c>
      <c r="Q203" s="380"/>
    </row>
    <row r="204" spans="1:17" ht="19.5" thickBot="1">
      <c r="A204" s="309">
        <v>1</v>
      </c>
      <c r="B204" s="310"/>
      <c r="C204" s="247" t="s">
        <v>6</v>
      </c>
      <c r="D204" s="109" t="s">
        <v>113</v>
      </c>
      <c r="E204" s="243" t="s">
        <v>19</v>
      </c>
      <c r="F204" s="322" t="s">
        <v>55</v>
      </c>
      <c r="G204" s="256">
        <v>8</v>
      </c>
      <c r="H204" s="237">
        <v>1702</v>
      </c>
      <c r="I204" s="248">
        <v>11</v>
      </c>
      <c r="J204" s="85">
        <f>ROUND(M204+M204*R204,0)</f>
        <v>1136</v>
      </c>
      <c r="K204" s="86">
        <f>J204*0.97</f>
        <v>1101.92</v>
      </c>
      <c r="L204" s="74">
        <f>M204*1.03</f>
        <v>1170.08</v>
      </c>
      <c r="M204" s="86">
        <f>ROUND(1082*1.05,0)</f>
        <v>1136</v>
      </c>
      <c r="N204" s="87">
        <f>ROUND(M204/1.2,2)</f>
        <v>946.67</v>
      </c>
      <c r="O204" s="374"/>
      <c r="P204" s="375">
        <v>751.69</v>
      </c>
      <c r="Q204" s="19">
        <v>845</v>
      </c>
    </row>
    <row r="205" spans="1:17" ht="16.5" thickBot="1">
      <c r="A205" s="492" t="s">
        <v>72</v>
      </c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4"/>
      <c r="O205" s="374"/>
      <c r="P205" s="375">
        <v>0</v>
      </c>
      <c r="Q205" s="381"/>
    </row>
    <row r="206" spans="1:17" ht="15.75" thickBot="1">
      <c r="A206" s="516" t="s">
        <v>77</v>
      </c>
      <c r="B206" s="517"/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8"/>
      <c r="O206" s="374"/>
      <c r="P206" s="375">
        <v>0</v>
      </c>
      <c r="Q206" s="382"/>
    </row>
    <row r="207" spans="1:17" ht="18.75">
      <c r="A207" s="354">
        <v>1</v>
      </c>
      <c r="B207" s="353"/>
      <c r="C207" s="103" t="s">
        <v>73</v>
      </c>
      <c r="D207" s="109" t="s">
        <v>113</v>
      </c>
      <c r="E207" s="367" t="s">
        <v>74</v>
      </c>
      <c r="F207" s="387"/>
      <c r="G207" s="134">
        <v>120</v>
      </c>
      <c r="H207" s="110">
        <v>1260</v>
      </c>
      <c r="I207" s="103">
        <v>15</v>
      </c>
      <c r="J207" s="185">
        <v>66</v>
      </c>
      <c r="K207" s="59">
        <v>64</v>
      </c>
      <c r="L207" s="174">
        <f>M207*1.03</f>
        <v>61.800000000000004</v>
      </c>
      <c r="M207" s="173">
        <f>ROUND(57*1.05,0)</f>
        <v>60</v>
      </c>
      <c r="N207" s="389">
        <f>ROUND(M207/1.2,2)</f>
        <v>50</v>
      </c>
      <c r="O207" s="374"/>
      <c r="P207" s="375">
        <v>38.979999999999997</v>
      </c>
      <c r="Q207" s="241">
        <v>46</v>
      </c>
    </row>
    <row r="208" spans="1:17" ht="19.5" thickBot="1">
      <c r="A208" s="355">
        <v>2</v>
      </c>
      <c r="B208" s="160"/>
      <c r="C208" s="108" t="s">
        <v>75</v>
      </c>
      <c r="D208" s="100" t="s">
        <v>113</v>
      </c>
      <c r="E208" s="369" t="s">
        <v>74</v>
      </c>
      <c r="F208" s="388"/>
      <c r="G208" s="133">
        <v>120</v>
      </c>
      <c r="H208" s="107" t="s">
        <v>76</v>
      </c>
      <c r="I208" s="108">
        <v>22</v>
      </c>
      <c r="J208" s="186">
        <v>67</v>
      </c>
      <c r="K208" s="62">
        <v>65</v>
      </c>
      <c r="L208" s="4">
        <f>M208*1.03</f>
        <v>62.83</v>
      </c>
      <c r="M208" s="4">
        <v>61</v>
      </c>
      <c r="N208" s="390">
        <f>ROUND(M208/1.2,2)</f>
        <v>50.83</v>
      </c>
      <c r="O208" s="383"/>
      <c r="P208" s="384">
        <v>38.14</v>
      </c>
      <c r="Q208" s="242">
        <v>45</v>
      </c>
    </row>
    <row r="209" spans="1:17" ht="18.75">
      <c r="A209" s="66"/>
      <c r="B209" s="75"/>
      <c r="C209" s="75"/>
      <c r="D209" s="67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15.75">
      <c r="A210" s="371"/>
      <c r="B210" s="370" t="s">
        <v>141</v>
      </c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372"/>
    </row>
  </sheetData>
  <mergeCells count="174"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юзер</cp:lastModifiedBy>
  <cp:lastPrinted>2023-03-02T09:45:55Z</cp:lastPrinted>
  <dcterms:created xsi:type="dcterms:W3CDTF">2013-11-15T06:29:05Z</dcterms:created>
  <dcterms:modified xsi:type="dcterms:W3CDTF">2023-07-12T06:38:11Z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