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k-comp\Desktop\браер\"/>
    </mc:Choice>
  </mc:AlternateContent>
  <bookViews>
    <workbookView xWindow="0" yWindow="0" windowWidth="23040" windowHeight="9195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БРАЕР-2'!$A$7:$S$225</definedName>
  </definedNames>
  <calcPr calcId="162913"/>
</workbook>
</file>

<file path=xl/calcChain.xml><?xml version="1.0" encoding="utf-8"?>
<calcChain xmlns="http://schemas.openxmlformats.org/spreadsheetml/2006/main">
  <c r="J13" i="6" l="1"/>
  <c r="K13" i="6"/>
  <c r="L13" i="6"/>
  <c r="M13" i="6"/>
  <c r="N13" i="6"/>
  <c r="J15" i="6"/>
  <c r="K15" i="6"/>
  <c r="L15" i="6"/>
  <c r="M15" i="6"/>
  <c r="N15" i="6"/>
  <c r="J16" i="6"/>
  <c r="K16" i="6"/>
  <c r="L16" i="6"/>
  <c r="M16" i="6"/>
  <c r="N16" i="6"/>
  <c r="J18" i="6"/>
  <c r="K18" i="6"/>
  <c r="L18" i="6"/>
  <c r="M18" i="6"/>
  <c r="N18" i="6"/>
  <c r="J19" i="6"/>
  <c r="K19" i="6"/>
  <c r="L19" i="6"/>
  <c r="M19" i="6"/>
  <c r="N19" i="6"/>
  <c r="J28" i="6"/>
  <c r="K28" i="6"/>
  <c r="L28" i="6"/>
  <c r="M28" i="6"/>
  <c r="N28" i="6"/>
  <c r="J32" i="6"/>
  <c r="K32" i="6"/>
  <c r="L32" i="6"/>
  <c r="M32" i="6"/>
  <c r="N32" i="6"/>
  <c r="J33" i="6"/>
  <c r="K33" i="6"/>
  <c r="L33" i="6"/>
  <c r="M33" i="6"/>
  <c r="N33" i="6"/>
  <c r="J34" i="6"/>
  <c r="K34" i="6"/>
  <c r="L34" i="6"/>
  <c r="M34" i="6"/>
  <c r="N34" i="6"/>
  <c r="J35" i="6"/>
  <c r="K35" i="6"/>
  <c r="L35" i="6"/>
  <c r="M35" i="6"/>
  <c r="N35" i="6"/>
  <c r="J36" i="6"/>
  <c r="K36" i="6"/>
  <c r="L36" i="6"/>
  <c r="M36" i="6"/>
  <c r="N36" i="6"/>
  <c r="J38" i="6"/>
  <c r="K38" i="6"/>
  <c r="L38" i="6"/>
  <c r="M38" i="6"/>
  <c r="N38" i="6"/>
  <c r="J39" i="6"/>
  <c r="K39" i="6"/>
  <c r="L39" i="6"/>
  <c r="M39" i="6"/>
  <c r="N39" i="6"/>
  <c r="J40" i="6"/>
  <c r="K40" i="6"/>
  <c r="L40" i="6"/>
  <c r="M40" i="6"/>
  <c r="N40" i="6"/>
  <c r="J42" i="6"/>
  <c r="K42" i="6"/>
  <c r="L42" i="6"/>
  <c r="M42" i="6"/>
  <c r="N42" i="6"/>
  <c r="J43" i="6"/>
  <c r="K43" i="6"/>
  <c r="L43" i="6"/>
  <c r="M43" i="6"/>
  <c r="N43" i="6"/>
  <c r="J44" i="6"/>
  <c r="K44" i="6"/>
  <c r="L44" i="6"/>
  <c r="M44" i="6"/>
  <c r="N44" i="6"/>
  <c r="J45" i="6"/>
  <c r="K45" i="6"/>
  <c r="L45" i="6"/>
  <c r="M45" i="6"/>
  <c r="N45" i="6"/>
  <c r="J46" i="6"/>
  <c r="K46" i="6"/>
  <c r="L46" i="6"/>
  <c r="M46" i="6"/>
  <c r="N46" i="6"/>
  <c r="J47" i="6"/>
  <c r="K47" i="6"/>
  <c r="L47" i="6"/>
  <c r="M47" i="6"/>
  <c r="N47" i="6"/>
  <c r="J49" i="6"/>
  <c r="K49" i="6"/>
  <c r="L49" i="6"/>
  <c r="M49" i="6"/>
  <c r="N49" i="6"/>
  <c r="J50" i="6"/>
  <c r="K50" i="6"/>
  <c r="L50" i="6"/>
  <c r="M50" i="6"/>
  <c r="N50" i="6"/>
  <c r="J52" i="6"/>
  <c r="K52" i="6"/>
  <c r="L52" i="6"/>
  <c r="M52" i="6"/>
  <c r="N52" i="6"/>
  <c r="J53" i="6"/>
  <c r="K53" i="6"/>
  <c r="L53" i="6"/>
  <c r="M53" i="6"/>
  <c r="N53" i="6"/>
  <c r="J54" i="6"/>
  <c r="K54" i="6"/>
  <c r="L54" i="6"/>
  <c r="M54" i="6"/>
  <c r="N54" i="6"/>
  <c r="J55" i="6"/>
  <c r="K55" i="6"/>
  <c r="L55" i="6"/>
  <c r="M55" i="6"/>
  <c r="N55" i="6"/>
  <c r="J56" i="6"/>
  <c r="K56" i="6"/>
  <c r="L56" i="6"/>
  <c r="M56" i="6"/>
  <c r="N56" i="6"/>
  <c r="J57" i="6"/>
  <c r="K57" i="6"/>
  <c r="L57" i="6"/>
  <c r="M57" i="6"/>
  <c r="N57" i="6"/>
  <c r="J58" i="6"/>
  <c r="K58" i="6"/>
  <c r="L58" i="6"/>
  <c r="M58" i="6"/>
  <c r="N58" i="6"/>
  <c r="J59" i="6"/>
  <c r="K59" i="6"/>
  <c r="L59" i="6"/>
  <c r="M59" i="6"/>
  <c r="N59" i="6"/>
  <c r="J60" i="6"/>
  <c r="K60" i="6"/>
  <c r="L60" i="6"/>
  <c r="M60" i="6"/>
  <c r="N60" i="6"/>
  <c r="J61" i="6"/>
  <c r="K61" i="6"/>
  <c r="L61" i="6"/>
  <c r="N61" i="6"/>
  <c r="J62" i="6"/>
  <c r="K62" i="6"/>
  <c r="L62" i="6"/>
  <c r="N62" i="6"/>
  <c r="J64" i="6"/>
  <c r="K64" i="6"/>
  <c r="L64" i="6"/>
  <c r="M64" i="6"/>
  <c r="N64" i="6"/>
  <c r="J66" i="6"/>
  <c r="K66" i="6"/>
  <c r="L66" i="6"/>
  <c r="M66" i="6"/>
  <c r="N66" i="6"/>
  <c r="J67" i="6"/>
  <c r="K67" i="6"/>
  <c r="L67" i="6"/>
  <c r="M67" i="6"/>
  <c r="N67" i="6"/>
  <c r="J68" i="6"/>
  <c r="K68" i="6"/>
  <c r="L68" i="6"/>
  <c r="M68" i="6"/>
  <c r="N68" i="6"/>
  <c r="J69" i="6"/>
  <c r="K69" i="6"/>
  <c r="L69" i="6"/>
  <c r="M69" i="6"/>
  <c r="N69" i="6"/>
  <c r="J70" i="6"/>
  <c r="K70" i="6"/>
  <c r="L70" i="6"/>
  <c r="M70" i="6"/>
  <c r="N70" i="6"/>
  <c r="J71" i="6"/>
  <c r="K71" i="6"/>
  <c r="L71" i="6"/>
  <c r="M71" i="6"/>
  <c r="N71" i="6"/>
  <c r="J72" i="6"/>
  <c r="K72" i="6"/>
  <c r="L72" i="6"/>
  <c r="M72" i="6"/>
  <c r="N72" i="6"/>
  <c r="J73" i="6"/>
  <c r="K73" i="6"/>
  <c r="L73" i="6"/>
  <c r="M73" i="6"/>
  <c r="N73" i="6"/>
  <c r="J74" i="6"/>
  <c r="K74" i="6"/>
  <c r="L74" i="6"/>
  <c r="M74" i="6"/>
  <c r="N74" i="6"/>
  <c r="J75" i="6"/>
  <c r="K75" i="6"/>
  <c r="L75" i="6"/>
  <c r="M75" i="6"/>
  <c r="N75" i="6"/>
  <c r="J76" i="6"/>
  <c r="K76" i="6"/>
  <c r="L76" i="6"/>
  <c r="M76" i="6"/>
  <c r="N76" i="6"/>
  <c r="J77" i="6"/>
  <c r="K77" i="6"/>
  <c r="L77" i="6"/>
  <c r="M77" i="6"/>
  <c r="N77" i="6"/>
  <c r="J78" i="6"/>
  <c r="K78" i="6"/>
  <c r="L78" i="6"/>
  <c r="M78" i="6"/>
  <c r="N78" i="6"/>
  <c r="J79" i="6"/>
  <c r="K79" i="6"/>
  <c r="L79" i="6"/>
  <c r="M79" i="6"/>
  <c r="N79" i="6"/>
  <c r="J80" i="6"/>
  <c r="K80" i="6"/>
  <c r="L80" i="6"/>
  <c r="M80" i="6"/>
  <c r="N80" i="6"/>
  <c r="J81" i="6"/>
  <c r="K81" i="6"/>
  <c r="L81" i="6"/>
  <c r="M81" i="6"/>
  <c r="N81" i="6"/>
  <c r="J82" i="6"/>
  <c r="K82" i="6"/>
  <c r="L82" i="6"/>
  <c r="M82" i="6"/>
  <c r="N82" i="6"/>
  <c r="J83" i="6"/>
  <c r="K83" i="6"/>
  <c r="L83" i="6"/>
  <c r="M83" i="6"/>
  <c r="N83" i="6"/>
  <c r="J84" i="6"/>
  <c r="K84" i="6"/>
  <c r="L84" i="6"/>
  <c r="M84" i="6"/>
  <c r="N84" i="6"/>
  <c r="J85" i="6"/>
  <c r="K85" i="6"/>
  <c r="L85" i="6"/>
  <c r="M85" i="6"/>
  <c r="N85" i="6"/>
  <c r="J86" i="6"/>
  <c r="K86" i="6"/>
  <c r="L86" i="6"/>
  <c r="M86" i="6"/>
  <c r="N86" i="6"/>
  <c r="J87" i="6"/>
  <c r="K87" i="6"/>
  <c r="L87" i="6"/>
  <c r="M87" i="6"/>
  <c r="N87" i="6"/>
  <c r="J88" i="6"/>
  <c r="K88" i="6"/>
  <c r="L88" i="6"/>
  <c r="M88" i="6"/>
  <c r="N88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J92" i="6"/>
  <c r="K92" i="6"/>
  <c r="L92" i="6"/>
  <c r="M92" i="6"/>
  <c r="N92" i="6"/>
  <c r="J93" i="6"/>
  <c r="K93" i="6"/>
  <c r="L93" i="6"/>
  <c r="M93" i="6"/>
  <c r="N93" i="6"/>
  <c r="J94" i="6"/>
  <c r="K94" i="6"/>
  <c r="L94" i="6"/>
  <c r="M94" i="6"/>
  <c r="N94" i="6"/>
  <c r="J95" i="6"/>
  <c r="K95" i="6"/>
  <c r="L95" i="6"/>
  <c r="M95" i="6"/>
  <c r="N95" i="6"/>
  <c r="J96" i="6"/>
  <c r="K96" i="6"/>
  <c r="L96" i="6"/>
  <c r="M96" i="6"/>
  <c r="N96" i="6"/>
  <c r="J97" i="6"/>
  <c r="K97" i="6"/>
  <c r="L97" i="6"/>
  <c r="M97" i="6"/>
  <c r="N97" i="6"/>
  <c r="J98" i="6"/>
  <c r="K98" i="6"/>
  <c r="L98" i="6"/>
  <c r="M98" i="6"/>
  <c r="N98" i="6"/>
  <c r="J99" i="6"/>
  <c r="K99" i="6"/>
  <c r="L99" i="6"/>
  <c r="M99" i="6"/>
  <c r="N99" i="6"/>
  <c r="J101" i="6"/>
  <c r="K101" i="6"/>
  <c r="L101" i="6"/>
  <c r="M101" i="6"/>
  <c r="N101" i="6"/>
  <c r="J102" i="6"/>
  <c r="K102" i="6"/>
  <c r="L102" i="6"/>
  <c r="M102" i="6"/>
  <c r="N102" i="6"/>
  <c r="J103" i="6"/>
  <c r="K103" i="6"/>
  <c r="L103" i="6"/>
  <c r="M103" i="6"/>
  <c r="N103" i="6"/>
  <c r="J104" i="6"/>
  <c r="K104" i="6"/>
  <c r="L104" i="6"/>
  <c r="M104" i="6"/>
  <c r="N104" i="6"/>
  <c r="J106" i="6"/>
  <c r="K106" i="6"/>
  <c r="L106" i="6"/>
  <c r="M106" i="6"/>
  <c r="N106" i="6"/>
  <c r="J107" i="6"/>
  <c r="K107" i="6"/>
  <c r="L107" i="6"/>
  <c r="M107" i="6"/>
  <c r="N107" i="6"/>
  <c r="J109" i="6"/>
  <c r="K109" i="6"/>
  <c r="L109" i="6"/>
  <c r="M109" i="6"/>
  <c r="N109" i="6"/>
  <c r="J110" i="6"/>
  <c r="K110" i="6"/>
  <c r="L110" i="6"/>
  <c r="M110" i="6"/>
  <c r="N110" i="6"/>
  <c r="J111" i="6"/>
  <c r="K111" i="6"/>
  <c r="L111" i="6"/>
  <c r="M111" i="6"/>
  <c r="N111" i="6"/>
  <c r="J113" i="6"/>
  <c r="K113" i="6"/>
  <c r="L113" i="6"/>
  <c r="M113" i="6"/>
  <c r="N113" i="6"/>
  <c r="J114" i="6"/>
  <c r="K114" i="6"/>
  <c r="L114" i="6"/>
  <c r="M114" i="6"/>
  <c r="N114" i="6"/>
  <c r="J115" i="6"/>
  <c r="K115" i="6"/>
  <c r="L115" i="6"/>
  <c r="M115" i="6"/>
  <c r="N115" i="6"/>
  <c r="J116" i="6"/>
  <c r="K116" i="6"/>
  <c r="L116" i="6"/>
  <c r="M116" i="6"/>
  <c r="N116" i="6"/>
  <c r="J117" i="6"/>
  <c r="K117" i="6"/>
  <c r="L117" i="6"/>
  <c r="M117" i="6"/>
  <c r="N117" i="6"/>
  <c r="J118" i="6"/>
  <c r="K118" i="6"/>
  <c r="L118" i="6"/>
  <c r="M118" i="6"/>
  <c r="N118" i="6"/>
  <c r="J119" i="6"/>
  <c r="K119" i="6"/>
  <c r="L119" i="6"/>
  <c r="M119" i="6"/>
  <c r="N119" i="6"/>
  <c r="J120" i="6"/>
  <c r="K120" i="6"/>
  <c r="L120" i="6"/>
  <c r="M120" i="6"/>
  <c r="N120" i="6"/>
  <c r="J121" i="6"/>
  <c r="K121" i="6"/>
  <c r="L121" i="6"/>
  <c r="M121" i="6"/>
  <c r="N121" i="6"/>
  <c r="J122" i="6"/>
  <c r="K122" i="6"/>
  <c r="L122" i="6"/>
  <c r="M122" i="6"/>
  <c r="N122" i="6"/>
  <c r="J123" i="6"/>
  <c r="K123" i="6"/>
  <c r="L123" i="6"/>
  <c r="M123" i="6"/>
  <c r="N123" i="6"/>
  <c r="J124" i="6"/>
  <c r="K124" i="6"/>
  <c r="L124" i="6"/>
  <c r="M124" i="6"/>
  <c r="N124" i="6"/>
  <c r="J125" i="6"/>
  <c r="K125" i="6"/>
  <c r="L125" i="6"/>
  <c r="M125" i="6"/>
  <c r="N125" i="6"/>
  <c r="J126" i="6"/>
  <c r="K126" i="6"/>
  <c r="L126" i="6"/>
  <c r="M126" i="6"/>
  <c r="N126" i="6"/>
  <c r="J128" i="6"/>
  <c r="K128" i="6"/>
  <c r="L128" i="6"/>
  <c r="M128" i="6"/>
  <c r="N128" i="6"/>
  <c r="J129" i="6"/>
  <c r="K129" i="6"/>
  <c r="L129" i="6"/>
  <c r="M129" i="6"/>
  <c r="N129" i="6"/>
  <c r="J130" i="6"/>
  <c r="K130" i="6"/>
  <c r="L130" i="6"/>
  <c r="M130" i="6"/>
  <c r="N130" i="6"/>
  <c r="J131" i="6"/>
  <c r="K131" i="6"/>
  <c r="L131" i="6"/>
  <c r="M131" i="6"/>
  <c r="N131" i="6"/>
  <c r="J132" i="6"/>
  <c r="K132" i="6"/>
  <c r="L132" i="6"/>
  <c r="M132" i="6"/>
  <c r="N132" i="6"/>
  <c r="J133" i="6"/>
  <c r="K133" i="6"/>
  <c r="L133" i="6"/>
  <c r="M133" i="6"/>
  <c r="N133" i="6"/>
  <c r="J134" i="6"/>
  <c r="K134" i="6"/>
  <c r="L134" i="6"/>
  <c r="M134" i="6"/>
  <c r="N134" i="6"/>
  <c r="J135" i="6"/>
  <c r="K135" i="6"/>
  <c r="L135" i="6"/>
  <c r="M135" i="6"/>
  <c r="N135" i="6"/>
  <c r="J136" i="6"/>
  <c r="K136" i="6"/>
  <c r="L136" i="6"/>
  <c r="M136" i="6"/>
  <c r="N136" i="6"/>
  <c r="J137" i="6"/>
  <c r="K137" i="6"/>
  <c r="L137" i="6"/>
  <c r="M137" i="6"/>
  <c r="N137" i="6"/>
  <c r="J138" i="6"/>
  <c r="K138" i="6"/>
  <c r="L138" i="6"/>
  <c r="M138" i="6"/>
  <c r="N138" i="6"/>
  <c r="J139" i="6"/>
  <c r="K139" i="6"/>
  <c r="L139" i="6"/>
  <c r="M139" i="6"/>
  <c r="N139" i="6"/>
  <c r="J140" i="6"/>
  <c r="K140" i="6"/>
  <c r="L140" i="6"/>
  <c r="M140" i="6"/>
  <c r="N140" i="6"/>
  <c r="J142" i="6"/>
  <c r="K142" i="6"/>
  <c r="L142" i="6"/>
  <c r="M142" i="6"/>
  <c r="N142" i="6"/>
  <c r="J147" i="6"/>
  <c r="K147" i="6"/>
  <c r="L147" i="6"/>
  <c r="M147" i="6"/>
  <c r="N147" i="6"/>
  <c r="J149" i="6"/>
  <c r="K149" i="6"/>
  <c r="L149" i="6"/>
  <c r="M149" i="6"/>
  <c r="N149" i="6"/>
  <c r="J150" i="6"/>
  <c r="K150" i="6"/>
  <c r="L150" i="6"/>
  <c r="M150" i="6"/>
  <c r="N150" i="6"/>
  <c r="J151" i="6"/>
  <c r="K151" i="6"/>
  <c r="L151" i="6"/>
  <c r="M151" i="6"/>
  <c r="N151" i="6"/>
  <c r="J152" i="6"/>
  <c r="K152" i="6"/>
  <c r="L152" i="6"/>
  <c r="M152" i="6"/>
  <c r="N152" i="6"/>
  <c r="J153" i="6"/>
  <c r="K153" i="6"/>
  <c r="L153" i="6"/>
  <c r="M153" i="6"/>
  <c r="N153" i="6"/>
  <c r="J154" i="6"/>
  <c r="K154" i="6"/>
  <c r="L154" i="6"/>
  <c r="M154" i="6"/>
  <c r="N154" i="6"/>
  <c r="J155" i="6"/>
  <c r="K155" i="6"/>
  <c r="L155" i="6"/>
  <c r="M155" i="6"/>
  <c r="N155" i="6"/>
  <c r="J156" i="6"/>
  <c r="K156" i="6"/>
  <c r="L156" i="6"/>
  <c r="M156" i="6"/>
  <c r="N156" i="6"/>
  <c r="J157" i="6"/>
  <c r="K157" i="6"/>
  <c r="L157" i="6"/>
  <c r="M157" i="6"/>
  <c r="N157" i="6"/>
  <c r="J158" i="6"/>
  <c r="K158" i="6"/>
  <c r="L158" i="6"/>
  <c r="M158" i="6"/>
  <c r="N158" i="6"/>
  <c r="J160" i="6"/>
  <c r="K160" i="6"/>
  <c r="L160" i="6"/>
  <c r="M160" i="6"/>
  <c r="N160" i="6"/>
  <c r="J161" i="6"/>
  <c r="K161" i="6"/>
  <c r="L161" i="6"/>
  <c r="M161" i="6"/>
  <c r="N161" i="6"/>
  <c r="J162" i="6"/>
  <c r="K162" i="6"/>
  <c r="L162" i="6"/>
  <c r="M162" i="6"/>
  <c r="N162" i="6"/>
  <c r="J163" i="6"/>
  <c r="K163" i="6"/>
  <c r="L163" i="6"/>
  <c r="M163" i="6"/>
  <c r="N163" i="6"/>
  <c r="J164" i="6"/>
  <c r="K164" i="6"/>
  <c r="L164" i="6"/>
  <c r="M164" i="6"/>
  <c r="N164" i="6"/>
  <c r="J165" i="6"/>
  <c r="K165" i="6"/>
  <c r="L165" i="6"/>
  <c r="M165" i="6"/>
  <c r="N165" i="6"/>
  <c r="J167" i="6"/>
  <c r="K167" i="6"/>
  <c r="L167" i="6"/>
  <c r="M167" i="6"/>
  <c r="N167" i="6"/>
  <c r="J168" i="6"/>
  <c r="K168" i="6"/>
  <c r="L168" i="6"/>
  <c r="M168" i="6"/>
  <c r="N168" i="6"/>
  <c r="J169" i="6"/>
  <c r="K169" i="6"/>
  <c r="L169" i="6"/>
  <c r="M169" i="6"/>
  <c r="N169" i="6"/>
  <c r="J170" i="6"/>
  <c r="K170" i="6"/>
  <c r="L170" i="6"/>
  <c r="M170" i="6"/>
  <c r="N170" i="6"/>
  <c r="J175" i="6"/>
  <c r="K175" i="6"/>
  <c r="L175" i="6"/>
  <c r="M175" i="6"/>
  <c r="N175" i="6"/>
  <c r="J176" i="6"/>
  <c r="K176" i="6"/>
  <c r="L176" i="6"/>
  <c r="M176" i="6"/>
  <c r="N176" i="6"/>
  <c r="J178" i="6"/>
  <c r="K178" i="6"/>
  <c r="L178" i="6"/>
  <c r="M178" i="6"/>
  <c r="N178" i="6"/>
  <c r="J180" i="6"/>
  <c r="K180" i="6"/>
  <c r="L180" i="6"/>
  <c r="M180" i="6"/>
  <c r="N180" i="6"/>
  <c r="J181" i="6"/>
  <c r="K181" i="6"/>
  <c r="L181" i="6"/>
  <c r="M181" i="6"/>
  <c r="N181" i="6"/>
  <c r="J182" i="6"/>
  <c r="K182" i="6"/>
  <c r="L182" i="6"/>
  <c r="M182" i="6"/>
  <c r="N182" i="6"/>
  <c r="J183" i="6"/>
  <c r="K183" i="6"/>
  <c r="L183" i="6"/>
  <c r="M183" i="6"/>
  <c r="N183" i="6"/>
  <c r="J184" i="6"/>
  <c r="K184" i="6"/>
  <c r="L184" i="6"/>
  <c r="M184" i="6"/>
  <c r="N184" i="6"/>
  <c r="J185" i="6"/>
  <c r="K185" i="6"/>
  <c r="L185" i="6"/>
  <c r="M185" i="6"/>
  <c r="N185" i="6"/>
  <c r="J186" i="6"/>
  <c r="K186" i="6"/>
  <c r="L186" i="6"/>
  <c r="M186" i="6"/>
  <c r="N186" i="6"/>
  <c r="J187" i="6"/>
  <c r="K187" i="6"/>
  <c r="L187" i="6"/>
  <c r="M187" i="6"/>
  <c r="N187" i="6"/>
  <c r="J188" i="6"/>
  <c r="K188" i="6"/>
  <c r="L188" i="6"/>
  <c r="M188" i="6"/>
  <c r="N188" i="6"/>
  <c r="J189" i="6"/>
  <c r="K189" i="6"/>
  <c r="L189" i="6"/>
  <c r="M189" i="6"/>
  <c r="N189" i="6"/>
  <c r="J190" i="6"/>
  <c r="K190" i="6"/>
  <c r="L190" i="6"/>
  <c r="M190" i="6"/>
  <c r="N190" i="6"/>
  <c r="J191" i="6"/>
  <c r="K191" i="6"/>
  <c r="L191" i="6"/>
  <c r="M191" i="6"/>
  <c r="N191" i="6"/>
  <c r="J193" i="6"/>
  <c r="K193" i="6"/>
  <c r="L193" i="6"/>
  <c r="M193" i="6"/>
  <c r="N193" i="6"/>
  <c r="J194" i="6"/>
  <c r="K194" i="6"/>
  <c r="L194" i="6"/>
  <c r="M194" i="6"/>
  <c r="N194" i="6"/>
  <c r="J197" i="6"/>
  <c r="K197" i="6"/>
  <c r="L197" i="6"/>
  <c r="M197" i="6"/>
  <c r="N197" i="6"/>
  <c r="J198" i="6"/>
  <c r="K198" i="6"/>
  <c r="L198" i="6"/>
  <c r="M198" i="6"/>
  <c r="N198" i="6"/>
  <c r="J199" i="6"/>
  <c r="K199" i="6"/>
  <c r="L199" i="6"/>
  <c r="M199" i="6"/>
  <c r="N199" i="6"/>
  <c r="J200" i="6"/>
  <c r="K200" i="6"/>
  <c r="L200" i="6"/>
  <c r="M200" i="6"/>
  <c r="N200" i="6"/>
  <c r="J201" i="6"/>
  <c r="K201" i="6"/>
  <c r="L201" i="6"/>
  <c r="M201" i="6"/>
  <c r="N201" i="6"/>
  <c r="J204" i="6"/>
  <c r="K204" i="6"/>
  <c r="L204" i="6"/>
  <c r="M204" i="6"/>
  <c r="N204" i="6"/>
  <c r="L207" i="6"/>
  <c r="M207" i="6"/>
  <c r="N207" i="6"/>
  <c r="L208" i="6"/>
  <c r="N208" i="6"/>
  <c r="R10" i="4"/>
  <c r="R12" i="4"/>
  <c r="R13" i="4"/>
  <c r="R15" i="4"/>
  <c r="R24" i="4"/>
  <c r="R25" i="4"/>
  <c r="R35" i="4"/>
  <c r="R40" i="4"/>
  <c r="R41" i="4"/>
  <c r="R44" i="4"/>
  <c r="R46" i="4"/>
  <c r="R47" i="4"/>
  <c r="R48" i="4"/>
  <c r="R49" i="4"/>
  <c r="R51" i="4"/>
  <c r="R54" i="4"/>
  <c r="R55" i="4"/>
  <c r="R56" i="4"/>
  <c r="R66" i="4"/>
  <c r="R68" i="4"/>
  <c r="R69" i="4"/>
  <c r="R70" i="4"/>
  <c r="R71" i="4"/>
  <c r="R72" i="4"/>
  <c r="R73" i="4"/>
  <c r="R74" i="4"/>
  <c r="R75" i="4"/>
  <c r="R105" i="4"/>
  <c r="R106" i="4"/>
  <c r="R107" i="4"/>
  <c r="R109" i="4"/>
  <c r="R113" i="4"/>
  <c r="R126" i="4"/>
  <c r="R127" i="4"/>
  <c r="R128" i="4"/>
  <c r="R130" i="4"/>
  <c r="R131" i="4"/>
  <c r="R132" i="4"/>
  <c r="R133" i="4"/>
  <c r="R134" i="4"/>
  <c r="R135" i="4"/>
  <c r="R136" i="4"/>
  <c r="R137" i="4"/>
  <c r="R138" i="4"/>
  <c r="R139" i="4"/>
  <c r="R142" i="4"/>
  <c r="R143" i="4"/>
  <c r="R146" i="4"/>
  <c r="R149" i="4"/>
  <c r="R155" i="4"/>
  <c r="R159" i="4"/>
  <c r="R164" i="4"/>
  <c r="R166" i="4"/>
  <c r="R167" i="4"/>
  <c r="R168" i="4"/>
  <c r="R185" i="4"/>
  <c r="R186" i="4"/>
  <c r="R195" i="4"/>
  <c r="R197" i="4"/>
  <c r="R198" i="4"/>
  <c r="R199" i="4"/>
  <c r="R200" i="4"/>
  <c r="R201" i="4"/>
  <c r="R202" i="4"/>
  <c r="R210" i="4"/>
  <c r="R211" i="4"/>
  <c r="R214" i="4"/>
  <c r="R218" i="4"/>
  <c r="R221" i="4"/>
  <c r="R224" i="4"/>
  <c r="R225" i="4"/>
</calcChain>
</file>

<file path=xl/sharedStrings.xml><?xml version="1.0" encoding="utf-8"?>
<sst xmlns="http://schemas.openxmlformats.org/spreadsheetml/2006/main" count="756" uniqueCount="181">
  <si>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</si>
  <si>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</si>
  <si>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</si>
  <si>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</si>
  <si>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</si>
  <si>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</si>
  <si>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</si>
  <si>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</si>
  <si>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</si>
  <si>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</si>
  <si>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</si>
  <si>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</si>
  <si>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</si>
  <si>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</si>
  <si>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</si>
  <si>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</si>
  <si>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</si>
  <si>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</si>
  <si>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</si>
  <si>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</si>
  <si>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</si>
  <si>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</si>
  <si>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</si>
  <si>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</si>
  <si>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</si>
  <si>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</si>
  <si>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</si>
  <si>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</si>
  <si>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</si>
  <si>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</si>
  <si>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</si>
  <si>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</si>
  <si>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</si>
  <si>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</si>
  <si>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</si>
  <si>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</si>
  <si>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</si>
  <si>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</si>
  <si>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</si>
  <si>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</si>
  <si>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</si>
  <si>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</si>
  <si>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</si>
  <si>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</si>
  <si>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</si>
  <si>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</si>
  <si>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</si>
  <si>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</si>
  <si>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</si>
  <si>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</si>
  <si>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</si>
  <si>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</si>
  <si>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</si>
  <si>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</si>
  <si>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</si>
  <si>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</si>
  <si>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</si>
  <si>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</si>
  <si>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</si>
  <si>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</si>
  <si>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</si>
  <si>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</si>
  <si>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</si>
  <si>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</si>
  <si>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</si>
  <si>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</si>
  <si>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</si>
  <si>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</si>
  <si>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</si>
  <si>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</si>
  <si>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</si>
  <si>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</si>
  <si>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</si>
  <si>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</si>
  <si>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</si>
  <si>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</si>
  <si>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</si>
  <si>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</si>
  <si>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</si>
  <si>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</si>
  <si>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</si>
  <si>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</si>
  <si>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</si>
  <si>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</si>
  <si>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</si>
  <si>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</si>
  <si>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</si>
  <si>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</si>
  <si>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</si>
  <si>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</si>
  <si>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</si>
  <si>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</si>
  <si>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</si>
  <si>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</si>
  <si>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</si>
  <si>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</si>
  <si>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</si>
  <si>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</si>
  <si>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</si>
  <si>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</si>
  <si>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</si>
  <si>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</si>
  <si>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</si>
  <si>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</si>
  <si>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</si>
  <si>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</si>
  <si>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</si>
  <si>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</si>
  <si>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</si>
  <si>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</si>
  <si>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</si>
  <si>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</si>
  <si>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</si>
  <si>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</si>
  <si>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</si>
  <si>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</si>
  <si>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</si>
  <si>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</si>
  <si>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</si>
  <si>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</si>
  <si>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</si>
  <si>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</si>
  <si>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</si>
  <si>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</si>
  <si>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</si>
  <si>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</si>
  <si>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</si>
  <si>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</si>
  <si>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</si>
  <si>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</si>
  <si>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</si>
  <si>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</si>
  <si>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</si>
  <si>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</si>
  <si>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</si>
  <si>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</si>
  <si>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</si>
  <si>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</si>
  <si>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</si>
  <si>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</si>
  <si>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</si>
  <si>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</si>
  <si>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</si>
  <si>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</si>
  <si>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</si>
  <si>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</si>
  <si>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</si>
  <si>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</si>
  <si>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</si>
  <si>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Лоток садовый</t>
  </si>
  <si>
    <r>
      <t>Стоп цена 1 п.м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</si>
  <si>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Паркет</t>
  </si>
  <si>
    <t xml:space="preserve">Сити
300х300
</t>
  </si>
  <si>
    <t>Сити
600х300</t>
  </si>
  <si>
    <t>280х120
360х120
480х120
480х160
640х160</t>
  </si>
  <si>
    <t>Color Mix
 "Степь"</t>
  </si>
  <si>
    <t>320*80</t>
  </si>
  <si>
    <t>Классико Дуо</t>
  </si>
  <si>
    <t>115/172*115</t>
  </si>
  <si>
    <t xml:space="preserve">Сити
300х150
</t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</si>
  <si>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</si>
  <si>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</si>
  <si>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</si>
  <si>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11"/>
        <color theme="1"/>
        <rFont val="Calibri"/>
        <family val="2"/>
        <charset val="204"/>
        <scheme val="minor"/>
      </rPr>
      <t>Классико / Классико круговая</t>
    </r>
    <r>
      <rPr>
        <sz val="11"/>
        <color theme="1"/>
        <rFont val="Calibri"/>
        <family val="2"/>
        <charset val="204"/>
        <scheme val="minor"/>
      </rPr>
      <t xml:space="preserve">
Color Mix
"Туман"</t>
    </r>
  </si>
  <si>
    <r>
      <rPr>
        <b/>
        <sz val="10"/>
        <color theme="1"/>
        <rFont val="Calibri"/>
        <family val="2"/>
        <charset val="204"/>
        <scheme val="minor"/>
      </rPr>
      <t>Классико круговая</t>
    </r>
    <r>
      <rPr>
        <sz val="11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</si>
  <si>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</si>
  <si>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10"/>
        <color theme="1"/>
        <rFont val="Calibri"/>
        <family val="2"/>
        <charset val="204"/>
        <scheme val="minor"/>
      </rPr>
      <t>Классико / Классико кругова</t>
    </r>
    <r>
      <rPr>
        <sz val="10"/>
        <color theme="1"/>
        <rFont val="Calibri"/>
        <family val="2"/>
        <charset val="204"/>
        <scheme val="minor"/>
      </rPr>
      <t>я</t>
    </r>
    <r>
      <rPr>
        <sz val="11"/>
        <color theme="1"/>
        <rFont val="Calibri"/>
        <family val="2"/>
        <charset val="204"/>
        <scheme val="minor"/>
      </rPr>
      <t xml:space="preserve">
Песочный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</si>
  <si>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Медовый</t>
    </r>
  </si>
  <si>
    <t>Color Mix
"Миндаль"</t>
  </si>
  <si>
    <t>Старый город "Ландхаус" 2.0</t>
  </si>
  <si>
    <t>Полисад</t>
  </si>
  <si>
    <t>100х250</t>
  </si>
  <si>
    <t>Классико Круговая
73х110х115</t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</si>
  <si>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Янтарный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</si>
  <si>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Грифельный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</si>
  <si>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Коралловый</t>
    </r>
  </si>
  <si>
    <r>
      <rPr>
        <b/>
        <sz val="10"/>
        <color theme="1"/>
        <rFont val="Calibri"/>
        <family val="2"/>
        <charset val="204"/>
        <scheme val="minor"/>
      </rPr>
      <t>Классико</t>
    </r>
    <r>
      <rPr>
        <sz val="11"/>
        <color theme="1"/>
        <rFont val="Calibri"/>
        <family val="2"/>
        <charset val="204"/>
        <scheme val="minor"/>
      </rPr>
      <t xml:space="preserve">
Серебристый</t>
    </r>
  </si>
  <si>
    <t>Color Mix
"Койот"</t>
  </si>
  <si>
    <t>Ригель 2.0</t>
  </si>
  <si>
    <t>Прайс-лист ТП 2024 от 17.06.2024</t>
  </si>
  <si>
    <r>
      <t xml:space="preserve">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</si>
</sst>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₽"/>
    <numFmt numFmtId="165" formatCode="0.0000%"/>
    <numFmt numFmtId="166" formatCode="0.0000000%"/>
  </numFmts>
  <fonts count="26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21"/>
      <color rgb="FF000000"/>
      <name val="Segoe UI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812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0" fillId="0" borderId="15" xfId="0" applyFont="1" applyFill="1" applyBorder="1" applyAlignment="1" applyProtection="1">
      <alignment horizontal="center" vertical="center"/>
      <protection hidden="1"/>
    </xf>
    <xf numFmtId="0" fontId="0" fillId="0" borderId="15" xfId="0" applyFont="1" applyFill="1" applyBorder="1" applyAlignment="1" applyProtection="1">
      <alignment horizontal="center" vertical="center" wrapText="1"/>
      <protection hidden="1"/>
    </xf>
    <xf numFmtId="0" fontId="13" fillId="0" borderId="15" xfId="0" applyFont="1" applyFill="1" applyBorder="1" applyAlignment="1" applyProtection="1">
      <alignment horizontal="center" vertical="center"/>
      <protection hidden="1"/>
    </xf>
    <xf numFmtId="0" fontId="6" fillId="0" borderId="15" xfId="1" applyFont="1" applyFill="1" applyBorder="1" applyAlignment="1" applyProtection="1">
      <alignment horizontal="center" vertical="center"/>
      <protection hidden="1"/>
    </xf>
    <xf numFmtId="3" fontId="8" fillId="0" borderId="15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0" fillId="0" borderId="39" xfId="0" applyFill="1" applyBorder="1" applyProtection="1"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/>
      <protection hidden="1"/>
    </xf>
    <xf numFmtId="0" fontId="0" fillId="4" borderId="18" xfId="0" applyFont="1" applyFill="1" applyBorder="1" applyAlignment="1" applyProtection="1">
      <alignment horizontal="center" vertical="center"/>
      <protection hidden="1"/>
    </xf>
    <xf numFmtId="0" fontId="6" fillId="3" borderId="2" xfId="1" applyFont="1" applyFill="1" applyBorder="1" applyAlignment="1" applyProtection="1">
      <alignment horizontal="center" vertical="center" wrapText="1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>
      <alignment horizontal="center" vertical="center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vertical="center" wrapText="1"/>
      <protection hidden="1"/>
    </xf>
    <xf numFmtId="0" fontId="8" fillId="5" borderId="2" xfId="0" applyFont="1" applyFill="1" applyBorder="1" applyAlignment="1" applyProtection="1">
      <alignment horizontal="center" vertical="center"/>
      <protection hidden="1"/>
    </xf>
    <xf numFmtId="0" fontId="8" fillId="5" borderId="3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7" fillId="8" borderId="1" xfId="0" applyFont="1" applyFill="1" applyBorder="1" applyAlignment="1" applyProtection="1">
      <alignment horizontal="center" vertical="center"/>
      <protection hidden="1"/>
    </xf>
    <xf numFmtId="1" fontId="8" fillId="4" borderId="30" xfId="0" applyNumberFormat="1" applyFont="1" applyFill="1" applyBorder="1" applyAlignment="1" applyProtection="1">
      <alignment horizontal="center" vertical="center"/>
      <protection hidden="1"/>
    </xf>
    <xf numFmtId="0" fontId="7" fillId="4" borderId="5" xfId="0" applyFont="1" applyFill="1" applyBorder="1" applyAlignment="1" applyProtection="1">
      <alignment horizontal="center" vertical="center"/>
      <protection hidden="1"/>
    </xf>
    <xf numFmtId="0" fontId="7" fillId="4" borderId="9" xfId="0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4" borderId="32" xfId="0" applyFont="1" applyFill="1" applyBorder="1" applyAlignment="1" applyProtection="1">
      <alignment horizontal="center" vertical="center" wrapText="1"/>
      <protection hidden="1"/>
    </xf>
    <xf numFmtId="0" fontId="0" fillId="7" borderId="31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 wrapText="1"/>
      <protection hidden="1"/>
    </xf>
    <xf numFmtId="0" fontId="13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25" fillId="0" borderId="15" xfId="0" applyFont="1" applyBorder="1" applyAlignment="1">
      <alignment vertical="center" wrapText="1"/>
    </xf>
    <xf numFmtId="0" fontId="11" fillId="4" borderId="4" xfId="0" applyFont="1" applyFill="1" applyBorder="1" applyAlignment="1" applyProtection="1">
      <alignment horizontal="center" vertical="center" wrapText="1"/>
      <protection hidden="1"/>
    </xf>
    <xf numFmtId="9" fontId="6" fillId="0" borderId="0" xfId="2" applyNumberFormat="1" applyFont="1" applyProtection="1">
      <protection hidden="1"/>
    </xf>
    <xf numFmtId="164" fontId="0" fillId="3" borderId="64" xfId="0" applyNumberFormat="1" applyFill="1" applyBorder="1" applyAlignment="1" applyProtection="1">
      <alignment horizontal="center" vertical="center"/>
      <protection hidden="1"/>
    </xf>
    <xf numFmtId="164" fontId="0" fillId="3" borderId="93" xfId="0" applyNumberFormat="1" applyFill="1" applyBorder="1" applyAlignment="1" applyProtection="1">
      <alignment horizontal="center" vertical="center"/>
      <protection hidden="1"/>
    </xf>
    <xf numFmtId="164" fontId="0" fillId="3" borderId="88" xfId="0" applyNumberFormat="1" applyFill="1" applyBorder="1" applyAlignment="1" applyProtection="1">
      <alignment horizontal="center" vertical="center"/>
      <protection hidden="1"/>
    </xf>
    <xf numFmtId="164" fontId="0" fillId="3" borderId="86" xfId="0" applyNumberFormat="1" applyFill="1" applyBorder="1" applyAlignment="1" applyProtection="1">
      <alignment horizontal="center" vertical="center"/>
      <protection hidden="1"/>
    </xf>
    <xf numFmtId="3" fontId="0" fillId="3" borderId="26" xfId="0" applyNumberFormat="1" applyFill="1" applyBorder="1" applyAlignment="1" applyProtection="1">
      <alignment horizontal="center" vertical="center"/>
      <protection hidden="1"/>
    </xf>
    <xf numFmtId="3" fontId="0" fillId="3" borderId="53" xfId="0" applyNumberFormat="1" applyFill="1" applyBorder="1" applyAlignment="1" applyProtection="1">
      <alignment horizontal="center" vertical="center"/>
      <protection hidden="1"/>
    </xf>
    <xf numFmtId="0" fontId="8" fillId="4" borderId="48" xfId="0" applyFont="1" applyFill="1" applyBorder="1" applyAlignment="1" applyProtection="1">
      <alignment horizontal="center" vertical="center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hidden="1"/>
    </xf>
    <xf numFmtId="0" fontId="0" fillId="3" borderId="25" xfId="0" applyFill="1" applyBorder="1" applyProtection="1"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7" fillId="14" borderId="12" xfId="0" applyFont="1" applyFill="1" applyBorder="1" applyAlignment="1" applyProtection="1">
      <alignment horizontal="center" vertical="center"/>
      <protection hidden="1"/>
    </xf>
    <xf numFmtId="1" fontId="8" fillId="4" borderId="5" xfId="0" applyNumberFormat="1" applyFont="1" applyFill="1" applyBorder="1" applyAlignment="1">
      <alignment horizontal="center" vertical="center"/>
    </xf>
    <xf numFmtId="0" fontId="0" fillId="4" borderId="57" xfId="0" applyFont="1" applyFill="1" applyBorder="1" applyAlignment="1" applyProtection="1">
      <alignment horizontal="center" vertical="center"/>
      <protection hidden="1"/>
    </xf>
    <xf numFmtId="0" fontId="0" fillId="4" borderId="30" xfId="0" applyFont="1" applyFill="1" applyBorder="1" applyAlignment="1" applyProtection="1">
      <alignment horizontal="center" vertical="center"/>
      <protection hidden="1"/>
    </xf>
    <xf numFmtId="1" fontId="8" fillId="4" borderId="0" xfId="0" applyNumberFormat="1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 wrapText="1"/>
      <protection hidden="1"/>
    </xf>
    <xf numFmtId="0" fontId="6" fillId="3" borderId="12" xfId="1" applyFont="1" applyFill="1" applyBorder="1" applyAlignment="1" applyProtection="1">
      <alignment horizontal="center" vertical="center" wrapText="1"/>
      <protection hidden="1"/>
    </xf>
    <xf numFmtId="0" fontId="6" fillId="3" borderId="5" xfId="1" applyFont="1" applyFill="1" applyBorder="1" applyAlignment="1" applyProtection="1">
      <alignment horizontal="center" vertical="center" wrapText="1"/>
      <protection hidden="1"/>
    </xf>
    <xf numFmtId="0" fontId="0" fillId="3" borderId="5" xfId="0" applyFont="1" applyFill="1" applyBorder="1" applyAlignment="1">
      <alignment horizontal="center" vertical="center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3" borderId="97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6" xfId="0" applyFont="1" applyFill="1" applyBorder="1" applyAlignment="1" applyProtection="1">
      <alignment horizontal="center" vertical="center" wrapText="1"/>
      <protection hidden="1"/>
    </xf>
    <xf numFmtId="0" fontId="0" fillId="3" borderId="34" xfId="0" applyFont="1" applyFill="1" applyBorder="1" applyAlignment="1" applyProtection="1">
      <alignment horizontal="center" vertical="center" wrapText="1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67" xfId="0" applyFont="1" applyFill="1" applyBorder="1" applyAlignment="1" applyProtection="1">
      <alignment horizontal="center" vertical="center"/>
      <protection hidden="1"/>
    </xf>
    <xf numFmtId="0" fontId="0" fillId="3" borderId="68" xfId="0" applyFont="1" applyFill="1" applyBorder="1" applyAlignment="1" applyProtection="1">
      <alignment horizontal="center" vertical="center"/>
      <protection hidden="1"/>
    </xf>
    <xf numFmtId="0" fontId="0" fillId="3" borderId="69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0" fillId="3" borderId="89" xfId="0" applyFont="1" applyFill="1" applyBorder="1" applyAlignment="1" applyProtection="1">
      <alignment horizontal="center" vertical="center" wrapText="1"/>
      <protection hidden="1"/>
    </xf>
    <xf numFmtId="0" fontId="0" fillId="3" borderId="94" xfId="0" applyFont="1" applyFill="1" applyBorder="1" applyAlignment="1" applyProtection="1">
      <alignment horizontal="center" vertical="center" wrapText="1"/>
      <protection hidden="1"/>
    </xf>
    <xf numFmtId="0" fontId="0" fillId="3" borderId="90" xfId="0" applyFont="1" applyFill="1" applyBorder="1" applyAlignment="1" applyProtection="1">
      <alignment horizontal="center" vertical="center"/>
      <protection hidden="1"/>
    </xf>
    <xf numFmtId="0" fontId="0" fillId="3" borderId="91" xfId="0" applyFont="1" applyFill="1" applyBorder="1" applyAlignment="1" applyProtection="1">
      <alignment horizontal="center" vertical="center"/>
      <protection hidden="1"/>
    </xf>
    <xf numFmtId="0" fontId="0" fillId="3" borderId="92" xfId="0" applyFont="1" applyFill="1" applyBorder="1" applyAlignment="1" applyProtection="1">
      <alignment horizontal="center" vertical="center"/>
      <protection hidden="1"/>
    </xf>
    <xf numFmtId="0" fontId="0" fillId="3" borderId="95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11" fillId="4" borderId="40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0" fontId="11" fillId="4" borderId="41" xfId="0" applyFont="1" applyFill="1" applyBorder="1" applyAlignment="1" applyProtection="1">
      <alignment horizontal="center" vertical="center" wrapText="1"/>
      <protection hidden="1"/>
    </xf>
    <xf numFmtId="0" fontId="11" fillId="4" borderId="33" xfId="0" applyFont="1" applyFill="1" applyBorder="1" applyAlignment="1" applyProtection="1">
      <alignment horizontal="center" vertical="center" wrapText="1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/>
      <protection hidden="1"/>
    </xf>
    <xf numFmtId="0" fontId="0" fillId="3" borderId="96" xfId="0" applyFont="1" applyFill="1" applyBorder="1" applyAlignment="1" applyProtection="1">
      <alignment horizontal="center" vertical="center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3" fontId="0" fillId="3" borderId="41" xfId="0" applyNumberFormat="1" applyFont="1" applyFill="1" applyBorder="1" applyAlignment="1" applyProtection="1">
      <alignment horizontal="center" vertical="center"/>
      <protection hidden="1"/>
    </xf>
    <xf numFmtId="3" fontId="0" fillId="3" borderId="57" xfId="0" applyNumberFormat="1" applyFont="1" applyFill="1" applyBorder="1" applyAlignment="1" applyProtection="1">
      <alignment horizontal="center" vertical="center"/>
      <protection hidden="1"/>
    </xf>
    <xf numFmtId="3" fontId="0" fillId="3" borderId="33" xfId="0" applyNumberFormat="1" applyFont="1" applyFill="1" applyBorder="1" applyAlignment="1" applyProtection="1">
      <alignment horizontal="center" vertical="center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>
      <alignment horizontal="center" vertical="center" wrapText="1"/>
    </xf>
    <xf numFmtId="0" fontId="0" fillId="3" borderId="57" xfId="0" applyFont="1" applyFill="1" applyBorder="1" applyAlignment="1">
      <alignment horizontal="center" vertical="center" wrapText="1"/>
    </xf>
    <xf numFmtId="0" fontId="0" fillId="3" borderId="33" xfId="0" applyFont="1" applyFill="1" applyBorder="1" applyAlignment="1">
      <alignment horizontal="center" vertical="center" wrapText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11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 wrapText="1"/>
      <protection hidden="1"/>
    </xf>
    <xf numFmtId="0" fontId="11" fillId="4" borderId="3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43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pn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png"/><Relationship Id="rId118" Type="http://schemas.openxmlformats.org/officeDocument/2006/relationships/image" Target="../media/image119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pn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pn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jpeg"/><Relationship Id="rId117" Type="http://schemas.openxmlformats.org/officeDocument/2006/relationships/image" Target="../media/image106.jpeg"/><Relationship Id="rId21" Type="http://schemas.openxmlformats.org/officeDocument/2006/relationships/image" Target="../media/image146.jpeg"/><Relationship Id="rId42" Type="http://schemas.openxmlformats.org/officeDocument/2006/relationships/image" Target="../media/image166.jpeg"/><Relationship Id="rId47" Type="http://schemas.openxmlformats.org/officeDocument/2006/relationships/image" Target="../media/image171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206.jpeg"/><Relationship Id="rId89" Type="http://schemas.openxmlformats.org/officeDocument/2006/relationships/image" Target="../media/image211.jpeg"/><Relationship Id="rId112" Type="http://schemas.openxmlformats.org/officeDocument/2006/relationships/image" Target="../media/image234.jpeg"/><Relationship Id="rId16" Type="http://schemas.openxmlformats.org/officeDocument/2006/relationships/image" Target="../media/image143.jpeg"/><Relationship Id="rId107" Type="http://schemas.openxmlformats.org/officeDocument/2006/relationships/image" Target="../media/image229.jpeg"/><Relationship Id="rId11" Type="http://schemas.openxmlformats.org/officeDocument/2006/relationships/image" Target="../media/image13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74" Type="http://schemas.openxmlformats.org/officeDocument/2006/relationships/image" Target="../media/image197.jpeg"/><Relationship Id="rId79" Type="http://schemas.openxmlformats.org/officeDocument/2006/relationships/image" Target="../media/image201.jpeg"/><Relationship Id="rId102" Type="http://schemas.openxmlformats.org/officeDocument/2006/relationships/image" Target="../media/image224.jpeg"/><Relationship Id="rId5" Type="http://schemas.openxmlformats.org/officeDocument/2006/relationships/image" Target="../media/image132.jpeg"/><Relationship Id="rId90" Type="http://schemas.openxmlformats.org/officeDocument/2006/relationships/image" Target="../media/image212.jpeg"/><Relationship Id="rId95" Type="http://schemas.openxmlformats.org/officeDocument/2006/relationships/image" Target="../media/image217.jpeg"/><Relationship Id="rId22" Type="http://schemas.openxmlformats.org/officeDocument/2006/relationships/image" Target="../media/image23.jpeg"/><Relationship Id="rId27" Type="http://schemas.openxmlformats.org/officeDocument/2006/relationships/image" Target="../media/image151.jpeg"/><Relationship Id="rId43" Type="http://schemas.openxmlformats.org/officeDocument/2006/relationships/image" Target="../media/image167.jpeg"/><Relationship Id="rId48" Type="http://schemas.openxmlformats.org/officeDocument/2006/relationships/image" Target="../media/image172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113" Type="http://schemas.openxmlformats.org/officeDocument/2006/relationships/image" Target="../media/image235.jpeg"/><Relationship Id="rId118" Type="http://schemas.openxmlformats.org/officeDocument/2006/relationships/image" Target="../media/image239.jpeg"/><Relationship Id="rId80" Type="http://schemas.openxmlformats.org/officeDocument/2006/relationships/image" Target="../media/image202.jpeg"/><Relationship Id="rId85" Type="http://schemas.openxmlformats.org/officeDocument/2006/relationships/image" Target="../media/image207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59" Type="http://schemas.openxmlformats.org/officeDocument/2006/relationships/image" Target="../media/image182.jpeg"/><Relationship Id="rId103" Type="http://schemas.openxmlformats.org/officeDocument/2006/relationships/image" Target="../media/image225.jpeg"/><Relationship Id="rId108" Type="http://schemas.openxmlformats.org/officeDocument/2006/relationships/image" Target="../media/image230.jpeg"/><Relationship Id="rId54" Type="http://schemas.openxmlformats.org/officeDocument/2006/relationships/image" Target="../media/image177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91" Type="http://schemas.openxmlformats.org/officeDocument/2006/relationships/image" Target="../media/image213.jpeg"/><Relationship Id="rId96" Type="http://schemas.openxmlformats.org/officeDocument/2006/relationships/image" Target="../media/image218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49" Type="http://schemas.openxmlformats.org/officeDocument/2006/relationships/image" Target="../media/image173.jpeg"/><Relationship Id="rId114" Type="http://schemas.openxmlformats.org/officeDocument/2006/relationships/image" Target="../media/image236.jpeg"/><Relationship Id="rId10" Type="http://schemas.openxmlformats.org/officeDocument/2006/relationships/image" Target="../media/image137.jpeg"/><Relationship Id="rId31" Type="http://schemas.openxmlformats.org/officeDocument/2006/relationships/image" Target="../media/image155.jpeg"/><Relationship Id="rId44" Type="http://schemas.openxmlformats.org/officeDocument/2006/relationships/image" Target="../media/image168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200.jpeg"/><Relationship Id="rId81" Type="http://schemas.openxmlformats.org/officeDocument/2006/relationships/image" Target="../media/image203.jpeg"/><Relationship Id="rId86" Type="http://schemas.openxmlformats.org/officeDocument/2006/relationships/image" Target="../media/image208.jpeg"/><Relationship Id="rId94" Type="http://schemas.openxmlformats.org/officeDocument/2006/relationships/image" Target="../media/image216.jpeg"/><Relationship Id="rId99" Type="http://schemas.openxmlformats.org/officeDocument/2006/relationships/image" Target="../media/image221.jpeg"/><Relationship Id="rId101" Type="http://schemas.openxmlformats.org/officeDocument/2006/relationships/image" Target="../media/image223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39" Type="http://schemas.openxmlformats.org/officeDocument/2006/relationships/image" Target="../media/image163.jpeg"/><Relationship Id="rId109" Type="http://schemas.openxmlformats.org/officeDocument/2006/relationships/image" Target="../media/image231.jpeg"/><Relationship Id="rId34" Type="http://schemas.openxmlformats.org/officeDocument/2006/relationships/image" Target="../media/image158.jpeg"/><Relationship Id="rId50" Type="http://schemas.openxmlformats.org/officeDocument/2006/relationships/image" Target="../media/image174.jpeg"/><Relationship Id="rId55" Type="http://schemas.openxmlformats.org/officeDocument/2006/relationships/image" Target="../media/image178.jpeg"/><Relationship Id="rId76" Type="http://schemas.openxmlformats.org/officeDocument/2006/relationships/image" Target="../media/image67.png"/><Relationship Id="rId97" Type="http://schemas.openxmlformats.org/officeDocument/2006/relationships/image" Target="../media/image219.jpeg"/><Relationship Id="rId104" Type="http://schemas.openxmlformats.org/officeDocument/2006/relationships/image" Target="../media/image226.jpeg"/><Relationship Id="rId7" Type="http://schemas.openxmlformats.org/officeDocument/2006/relationships/image" Target="../media/image134.jpeg"/><Relationship Id="rId71" Type="http://schemas.openxmlformats.org/officeDocument/2006/relationships/image" Target="../media/image194.jpeg"/><Relationship Id="rId92" Type="http://schemas.openxmlformats.org/officeDocument/2006/relationships/image" Target="../media/image214.jpeg"/><Relationship Id="rId2" Type="http://schemas.openxmlformats.org/officeDocument/2006/relationships/image" Target="../media/image129.jpeg"/><Relationship Id="rId29" Type="http://schemas.openxmlformats.org/officeDocument/2006/relationships/image" Target="../media/image153.jpeg"/><Relationship Id="rId24" Type="http://schemas.openxmlformats.org/officeDocument/2006/relationships/image" Target="../media/image148.jpeg"/><Relationship Id="rId40" Type="http://schemas.openxmlformats.org/officeDocument/2006/relationships/image" Target="../media/image164.jpeg"/><Relationship Id="rId45" Type="http://schemas.openxmlformats.org/officeDocument/2006/relationships/image" Target="../media/image169.jpeg"/><Relationship Id="rId66" Type="http://schemas.openxmlformats.org/officeDocument/2006/relationships/image" Target="../media/image189.jpeg"/><Relationship Id="rId87" Type="http://schemas.openxmlformats.org/officeDocument/2006/relationships/image" Target="../media/image209.jpeg"/><Relationship Id="rId110" Type="http://schemas.openxmlformats.org/officeDocument/2006/relationships/image" Target="../media/image232.jpeg"/><Relationship Id="rId115" Type="http://schemas.openxmlformats.org/officeDocument/2006/relationships/image" Target="../media/image237.jpeg"/><Relationship Id="rId61" Type="http://schemas.openxmlformats.org/officeDocument/2006/relationships/image" Target="../media/image184.jpeg"/><Relationship Id="rId82" Type="http://schemas.openxmlformats.org/officeDocument/2006/relationships/image" Target="../media/image204.jpeg"/><Relationship Id="rId19" Type="http://schemas.openxmlformats.org/officeDocument/2006/relationships/image" Target="../media/image20.jpeg"/><Relationship Id="rId14" Type="http://schemas.openxmlformats.org/officeDocument/2006/relationships/image" Target="../media/image14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56" Type="http://schemas.openxmlformats.org/officeDocument/2006/relationships/image" Target="../media/image179.jpeg"/><Relationship Id="rId77" Type="http://schemas.openxmlformats.org/officeDocument/2006/relationships/image" Target="../media/image199.jpeg"/><Relationship Id="rId100" Type="http://schemas.openxmlformats.org/officeDocument/2006/relationships/image" Target="../media/image222.jpeg"/><Relationship Id="rId105" Type="http://schemas.openxmlformats.org/officeDocument/2006/relationships/image" Target="../media/image227.jpeg"/><Relationship Id="rId8" Type="http://schemas.openxmlformats.org/officeDocument/2006/relationships/image" Target="../media/image135.jpeg"/><Relationship Id="rId51" Type="http://schemas.openxmlformats.org/officeDocument/2006/relationships/image" Target="../media/image42.png"/><Relationship Id="rId72" Type="http://schemas.openxmlformats.org/officeDocument/2006/relationships/image" Target="../media/image195.jpeg"/><Relationship Id="rId93" Type="http://schemas.openxmlformats.org/officeDocument/2006/relationships/image" Target="../media/image215.jpeg"/><Relationship Id="rId98" Type="http://schemas.openxmlformats.org/officeDocument/2006/relationships/image" Target="../media/image220.jpeg"/><Relationship Id="rId3" Type="http://schemas.openxmlformats.org/officeDocument/2006/relationships/image" Target="../media/image130.jpeg"/><Relationship Id="rId25" Type="http://schemas.openxmlformats.org/officeDocument/2006/relationships/image" Target="../media/image149.jpeg"/><Relationship Id="rId46" Type="http://schemas.openxmlformats.org/officeDocument/2006/relationships/image" Target="../media/image170.jpeg"/><Relationship Id="rId67" Type="http://schemas.openxmlformats.org/officeDocument/2006/relationships/image" Target="../media/image190.jpeg"/><Relationship Id="rId116" Type="http://schemas.openxmlformats.org/officeDocument/2006/relationships/image" Target="../media/image238.jpeg"/><Relationship Id="rId20" Type="http://schemas.openxmlformats.org/officeDocument/2006/relationships/image" Target="../media/image21.jpeg"/><Relationship Id="rId41" Type="http://schemas.openxmlformats.org/officeDocument/2006/relationships/image" Target="../media/image165.jpeg"/><Relationship Id="rId62" Type="http://schemas.openxmlformats.org/officeDocument/2006/relationships/image" Target="../media/image185.jpeg"/><Relationship Id="rId83" Type="http://schemas.openxmlformats.org/officeDocument/2006/relationships/image" Target="../media/image205.jpeg"/><Relationship Id="rId88" Type="http://schemas.openxmlformats.org/officeDocument/2006/relationships/image" Target="../media/image210.jpeg"/><Relationship Id="rId111" Type="http://schemas.openxmlformats.org/officeDocument/2006/relationships/image" Target="../media/image233.jpeg"/><Relationship Id="rId15" Type="http://schemas.openxmlformats.org/officeDocument/2006/relationships/image" Target="../media/image142.jpeg"/><Relationship Id="rId36" Type="http://schemas.openxmlformats.org/officeDocument/2006/relationships/image" Target="../media/image160.jpeg"/><Relationship Id="rId57" Type="http://schemas.openxmlformats.org/officeDocument/2006/relationships/image" Target="../media/image180.jpeg"/><Relationship Id="rId106" Type="http://schemas.openxmlformats.org/officeDocument/2006/relationships/image" Target="../media/image22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2</xdr:col>
      <xdr:colOff>0</xdr:colOff>
      <xdr:row>198</xdr:row>
      <xdr:rowOff>236220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199</xdr:row>
      <xdr:rowOff>0</xdr:rowOff>
    </xdr:from>
    <xdr:to>
      <xdr:col>2</xdr:col>
      <xdr:colOff>0</xdr:colOff>
      <xdr:row>201</xdr:row>
      <xdr:rowOff>236219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202</xdr:row>
      <xdr:rowOff>0</xdr:rowOff>
    </xdr:from>
    <xdr:to>
      <xdr:col>2</xdr:col>
      <xdr:colOff>0</xdr:colOff>
      <xdr:row>205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205</xdr:row>
      <xdr:rowOff>7620</xdr:rowOff>
    </xdr:from>
    <xdr:to>
      <xdr:col>2</xdr:col>
      <xdr:colOff>1775</xdr:colOff>
      <xdr:row>207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210</xdr:row>
      <xdr:rowOff>7620</xdr:rowOff>
    </xdr:from>
    <xdr:to>
      <xdr:col>2</xdr:col>
      <xdr:colOff>0</xdr:colOff>
      <xdr:row>210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213</xdr:row>
      <xdr:rowOff>0</xdr:rowOff>
    </xdr:from>
    <xdr:to>
      <xdr:col>2</xdr:col>
      <xdr:colOff>0</xdr:colOff>
      <xdr:row>214</xdr:row>
      <xdr:rowOff>930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2</xdr:col>
      <xdr:colOff>0</xdr:colOff>
      <xdr:row>215</xdr:row>
      <xdr:rowOff>7622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215</xdr:row>
      <xdr:rowOff>7620</xdr:rowOff>
    </xdr:from>
    <xdr:to>
      <xdr:col>2</xdr:col>
      <xdr:colOff>0</xdr:colOff>
      <xdr:row>216</xdr:row>
      <xdr:rowOff>2609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216</xdr:row>
      <xdr:rowOff>7620</xdr:rowOff>
    </xdr:from>
    <xdr:to>
      <xdr:col>2</xdr:col>
      <xdr:colOff>0</xdr:colOff>
      <xdr:row>217</xdr:row>
      <xdr:rowOff>1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217</xdr:row>
      <xdr:rowOff>0</xdr:rowOff>
    </xdr:from>
    <xdr:to>
      <xdr:col>2</xdr:col>
      <xdr:colOff>0</xdr:colOff>
      <xdr:row>217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194</xdr:row>
      <xdr:rowOff>7620</xdr:rowOff>
    </xdr:from>
    <xdr:to>
      <xdr:col>2</xdr:col>
      <xdr:colOff>0</xdr:colOff>
      <xdr:row>194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184</xdr:row>
      <xdr:rowOff>190500</xdr:rowOff>
    </xdr:from>
    <xdr:to>
      <xdr:col>1</xdr:col>
      <xdr:colOff>1363980</xdr:colOff>
      <xdr:row>184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2</xdr:col>
      <xdr:colOff>3680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224</xdr:row>
      <xdr:rowOff>7620</xdr:rowOff>
    </xdr:from>
    <xdr:to>
      <xdr:col>1</xdr:col>
      <xdr:colOff>1548765</xdr:colOff>
      <xdr:row>224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223</xdr:row>
      <xdr:rowOff>7620</xdr:rowOff>
    </xdr:from>
    <xdr:to>
      <xdr:col>1</xdr:col>
      <xdr:colOff>1552575</xdr:colOff>
      <xdr:row>223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186</xdr:row>
      <xdr:rowOff>198120</xdr:rowOff>
    </xdr:from>
    <xdr:to>
      <xdr:col>1</xdr:col>
      <xdr:colOff>1341120</xdr:colOff>
      <xdr:row>186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2</xdr:col>
      <xdr:colOff>3680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220</xdr:row>
      <xdr:rowOff>15240</xdr:rowOff>
    </xdr:from>
    <xdr:to>
      <xdr:col>1</xdr:col>
      <xdr:colOff>1539240</xdr:colOff>
      <xdr:row>220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2</xdr:col>
      <xdr:colOff>3680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2</xdr:col>
      <xdr:colOff>3680</xdr:colOff>
      <xdr:row>17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0</xdr:rowOff>
    </xdr:from>
    <xdr:to>
      <xdr:col>2</xdr:col>
      <xdr:colOff>0</xdr:colOff>
      <xdr:row>16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23</xdr:row>
      <xdr:rowOff>30480</xdr:rowOff>
    </xdr:from>
    <xdr:to>
      <xdr:col>2</xdr:col>
      <xdr:colOff>0</xdr:colOff>
      <xdr:row>24</xdr:row>
      <xdr:rowOff>0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12276909"/>
          <a:ext cx="1621972" cy="69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2</xdr:col>
      <xdr:colOff>3680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2</xdr:col>
      <xdr:colOff>1775</xdr:colOff>
      <xdr:row>37</xdr:row>
      <xdr:rowOff>0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2</xdr:col>
      <xdr:colOff>3680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1775</xdr:colOff>
      <xdr:row>40</xdr:row>
      <xdr:rowOff>0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0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2</xdr:col>
      <xdr:colOff>3680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2</xdr:col>
      <xdr:colOff>3680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7620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7620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2</xdr:col>
      <xdr:colOff>1775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2</xdr:col>
      <xdr:colOff>3680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2</xdr:col>
      <xdr:colOff>1775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2</xdr:col>
      <xdr:colOff>1775</xdr:colOff>
      <xdr:row>63</xdr:row>
      <xdr:rowOff>7620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373380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358140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2</xdr:col>
      <xdr:colOff>1775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373380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91</xdr:row>
      <xdr:rowOff>0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373380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87</xdr:row>
      <xdr:rowOff>0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373380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2</xdr:col>
      <xdr:colOff>1775</xdr:colOff>
      <xdr:row>94</xdr:row>
      <xdr:rowOff>373380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373380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2</xdr:col>
      <xdr:colOff>0</xdr:colOff>
      <xdr:row>106</xdr:row>
      <xdr:rowOff>574109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2</xdr:col>
      <xdr:colOff>0</xdr:colOff>
      <xdr:row>106</xdr:row>
      <xdr:rowOff>7621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358140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104</xdr:row>
      <xdr:rowOff>7620</xdr:rowOff>
    </xdr:from>
    <xdr:to>
      <xdr:col>2</xdr:col>
      <xdr:colOff>0</xdr:colOff>
      <xdr:row>105</xdr:row>
      <xdr:rowOff>0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373380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373380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0</xdr:colOff>
      <xdr:row>109</xdr:row>
      <xdr:rowOff>30480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125</xdr:row>
      <xdr:rowOff>7620</xdr:rowOff>
    </xdr:from>
    <xdr:to>
      <xdr:col>2</xdr:col>
      <xdr:colOff>0</xdr:colOff>
      <xdr:row>130</xdr:row>
      <xdr:rowOff>7620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129</xdr:row>
      <xdr:rowOff>0</xdr:rowOff>
    </xdr:from>
    <xdr:to>
      <xdr:col>2</xdr:col>
      <xdr:colOff>0</xdr:colOff>
      <xdr:row>130</xdr:row>
      <xdr:rowOff>373380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131</xdr:row>
      <xdr:rowOff>7620</xdr:rowOff>
    </xdr:from>
    <xdr:to>
      <xdr:col>2</xdr:col>
      <xdr:colOff>0</xdr:colOff>
      <xdr:row>133</xdr:row>
      <xdr:rowOff>208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133</xdr:row>
      <xdr:rowOff>7620</xdr:rowOff>
    </xdr:from>
    <xdr:to>
      <xdr:col>2</xdr:col>
      <xdr:colOff>0</xdr:colOff>
      <xdr:row>134</xdr:row>
      <xdr:rowOff>373381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135</xdr:row>
      <xdr:rowOff>7620</xdr:rowOff>
    </xdr:from>
    <xdr:to>
      <xdr:col>2</xdr:col>
      <xdr:colOff>0</xdr:colOff>
      <xdr:row>136</xdr:row>
      <xdr:rowOff>373380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25784</xdr:colOff>
      <xdr:row>140</xdr:row>
      <xdr:rowOff>408662</xdr:rowOff>
    </xdr:from>
    <xdr:to>
      <xdr:col>2</xdr:col>
      <xdr:colOff>10439</xdr:colOff>
      <xdr:row>142</xdr:row>
      <xdr:rowOff>416282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11" y="81775648"/>
          <a:ext cx="1581724" cy="874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7620</xdr:rowOff>
    </xdr:from>
    <xdr:to>
      <xdr:col>2</xdr:col>
      <xdr:colOff>0</xdr:colOff>
      <xdr:row>147</xdr:row>
      <xdr:rowOff>373381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7620</xdr:rowOff>
    </xdr:from>
    <xdr:to>
      <xdr:col>2</xdr:col>
      <xdr:colOff>0</xdr:colOff>
      <xdr:row>150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150</xdr:row>
      <xdr:rowOff>0</xdr:rowOff>
    </xdr:from>
    <xdr:to>
      <xdr:col>2</xdr:col>
      <xdr:colOff>0</xdr:colOff>
      <xdr:row>151</xdr:row>
      <xdr:rowOff>350519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7620</xdr:rowOff>
    </xdr:from>
    <xdr:to>
      <xdr:col>2</xdr:col>
      <xdr:colOff>0</xdr:colOff>
      <xdr:row>154</xdr:row>
      <xdr:rowOff>1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154</xdr:row>
      <xdr:rowOff>0</xdr:rowOff>
    </xdr:from>
    <xdr:to>
      <xdr:col>2</xdr:col>
      <xdr:colOff>0</xdr:colOff>
      <xdr:row>154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156</xdr:row>
      <xdr:rowOff>0</xdr:rowOff>
    </xdr:from>
    <xdr:to>
      <xdr:col>2</xdr:col>
      <xdr:colOff>0</xdr:colOff>
      <xdr:row>156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158</xdr:row>
      <xdr:rowOff>53340</xdr:rowOff>
    </xdr:from>
    <xdr:to>
      <xdr:col>1</xdr:col>
      <xdr:colOff>1394460</xdr:colOff>
      <xdr:row>158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1198880</xdr:colOff>
      <xdr:row>4</xdr:row>
      <xdr:rowOff>320040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187</xdr:row>
      <xdr:rowOff>152400</xdr:rowOff>
    </xdr:from>
    <xdr:to>
      <xdr:col>1</xdr:col>
      <xdr:colOff>1310640</xdr:colOff>
      <xdr:row>187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1775</xdr:colOff>
      <xdr:row>113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7620</xdr:rowOff>
    </xdr:from>
    <xdr:to>
      <xdr:col>2</xdr:col>
      <xdr:colOff>1775</xdr:colOff>
      <xdr:row>113</xdr:row>
      <xdr:rowOff>1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167</xdr:row>
      <xdr:rowOff>7620</xdr:rowOff>
    </xdr:from>
    <xdr:to>
      <xdr:col>1</xdr:col>
      <xdr:colOff>1219200</xdr:colOff>
      <xdr:row>167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169</xdr:row>
      <xdr:rowOff>30480</xdr:rowOff>
    </xdr:from>
    <xdr:to>
      <xdr:col>1</xdr:col>
      <xdr:colOff>1234440</xdr:colOff>
      <xdr:row>169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168</xdr:row>
      <xdr:rowOff>30480</xdr:rowOff>
    </xdr:from>
    <xdr:to>
      <xdr:col>1</xdr:col>
      <xdr:colOff>1203960</xdr:colOff>
      <xdr:row>168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163</xdr:row>
      <xdr:rowOff>0</xdr:rowOff>
    </xdr:from>
    <xdr:to>
      <xdr:col>1</xdr:col>
      <xdr:colOff>1244600</xdr:colOff>
      <xdr:row>163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173</xdr:row>
      <xdr:rowOff>45720</xdr:rowOff>
    </xdr:from>
    <xdr:to>
      <xdr:col>1</xdr:col>
      <xdr:colOff>1257300</xdr:colOff>
      <xdr:row>173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174</xdr:row>
      <xdr:rowOff>7620</xdr:rowOff>
    </xdr:from>
    <xdr:to>
      <xdr:col>1</xdr:col>
      <xdr:colOff>1211580</xdr:colOff>
      <xdr:row>175</xdr:row>
      <xdr:rowOff>1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175</xdr:row>
      <xdr:rowOff>30480</xdr:rowOff>
    </xdr:from>
    <xdr:to>
      <xdr:col>1</xdr:col>
      <xdr:colOff>1173480</xdr:colOff>
      <xdr:row>175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171</xdr:row>
      <xdr:rowOff>7620</xdr:rowOff>
    </xdr:from>
    <xdr:to>
      <xdr:col>1</xdr:col>
      <xdr:colOff>1249680</xdr:colOff>
      <xdr:row>171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181</xdr:row>
      <xdr:rowOff>22860</xdr:rowOff>
    </xdr:from>
    <xdr:to>
      <xdr:col>1</xdr:col>
      <xdr:colOff>1135380</xdr:colOff>
      <xdr:row>181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182</xdr:row>
      <xdr:rowOff>30480</xdr:rowOff>
    </xdr:from>
    <xdr:to>
      <xdr:col>1</xdr:col>
      <xdr:colOff>1104900</xdr:colOff>
      <xdr:row>182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177</xdr:row>
      <xdr:rowOff>83820</xdr:rowOff>
    </xdr:from>
    <xdr:to>
      <xdr:col>1</xdr:col>
      <xdr:colOff>1097280</xdr:colOff>
      <xdr:row>177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180</xdr:row>
      <xdr:rowOff>91440</xdr:rowOff>
    </xdr:from>
    <xdr:to>
      <xdr:col>1</xdr:col>
      <xdr:colOff>990600</xdr:colOff>
      <xdr:row>180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165</xdr:row>
      <xdr:rowOff>30480</xdr:rowOff>
    </xdr:from>
    <xdr:to>
      <xdr:col>1</xdr:col>
      <xdr:colOff>1280160</xdr:colOff>
      <xdr:row>165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166</xdr:row>
      <xdr:rowOff>30480</xdr:rowOff>
    </xdr:from>
    <xdr:to>
      <xdr:col>1</xdr:col>
      <xdr:colOff>1165860</xdr:colOff>
      <xdr:row>167</xdr:row>
      <xdr:rowOff>0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170</xdr:row>
      <xdr:rowOff>68580</xdr:rowOff>
    </xdr:from>
    <xdr:to>
      <xdr:col>1</xdr:col>
      <xdr:colOff>1257300</xdr:colOff>
      <xdr:row>170</xdr:row>
      <xdr:rowOff>730684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178</xdr:row>
      <xdr:rowOff>38100</xdr:rowOff>
    </xdr:from>
    <xdr:to>
      <xdr:col>1</xdr:col>
      <xdr:colOff>1051560</xdr:colOff>
      <xdr:row>178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5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179</xdr:row>
      <xdr:rowOff>22860</xdr:rowOff>
    </xdr:from>
    <xdr:to>
      <xdr:col>1</xdr:col>
      <xdr:colOff>1082040</xdr:colOff>
      <xdr:row>180</xdr:row>
      <xdr:rowOff>0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2</xdr:col>
      <xdr:colOff>1775</xdr:colOff>
      <xdr:row>139</xdr:row>
      <xdr:rowOff>30480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2</xdr:col>
      <xdr:colOff>1775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1548765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2</xdr:col>
      <xdr:colOff>1775</xdr:colOff>
      <xdr:row>16</xdr:row>
      <xdr:rowOff>22860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120</xdr:row>
      <xdr:rowOff>7620</xdr:rowOff>
    </xdr:from>
    <xdr:to>
      <xdr:col>2</xdr:col>
      <xdr:colOff>1775</xdr:colOff>
      <xdr:row>121</xdr:row>
      <xdr:rowOff>0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609600</xdr:rowOff>
    </xdr:from>
    <xdr:to>
      <xdr:col>2</xdr:col>
      <xdr:colOff>0</xdr:colOff>
      <xdr:row>123</xdr:row>
      <xdr:rowOff>609600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30480</xdr:rowOff>
    </xdr:from>
    <xdr:to>
      <xdr:col>2</xdr:col>
      <xdr:colOff>22860</xdr:colOff>
      <xdr:row>123</xdr:row>
      <xdr:rowOff>7620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7620</xdr:colOff>
      <xdr:row>122</xdr:row>
      <xdr:rowOff>30480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22860</xdr:colOff>
      <xdr:row>116</xdr:row>
      <xdr:rowOff>0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118</xdr:row>
      <xdr:rowOff>0</xdr:rowOff>
    </xdr:from>
    <xdr:to>
      <xdr:col>2</xdr:col>
      <xdr:colOff>1775</xdr:colOff>
      <xdr:row>119</xdr:row>
      <xdr:rowOff>0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30</xdr:row>
      <xdr:rowOff>0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3680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57</xdr:row>
      <xdr:rowOff>0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2</xdr:col>
      <xdr:colOff>3680</xdr:colOff>
      <xdr:row>116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591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9525</xdr:rowOff>
        </xdr:from>
        <xdr:to>
          <xdr:col>2</xdr:col>
          <xdr:colOff>28575</xdr:colOff>
          <xdr:row>96</xdr:row>
          <xdr:rowOff>361950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110</xdr:row>
          <xdr:rowOff>9525</xdr:rowOff>
        </xdr:from>
        <xdr:to>
          <xdr:col>2</xdr:col>
          <xdr:colOff>0</xdr:colOff>
          <xdr:row>111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25400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13607</xdr:rowOff>
    </xdr:from>
    <xdr:to>
      <xdr:col>2</xdr:col>
      <xdr:colOff>410</xdr:colOff>
      <xdr:row>21</xdr:row>
      <xdr:rowOff>21227</xdr:rowOff>
    </xdr:to>
    <xdr:pic>
      <xdr:nvPicPr>
        <xdr:cNvPr id="151" name="Рисунок 1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0" b="40594"/>
        <a:stretch>
          <a:fillRect/>
        </a:stretch>
      </xdr:blipFill>
      <xdr:spPr bwMode="auto">
        <a:xfrm>
          <a:off x="340179" y="10096500"/>
          <a:ext cx="1597479" cy="728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2982</xdr:colOff>
      <xdr:row>21</xdr:row>
      <xdr:rowOff>3170</xdr:rowOff>
    </xdr:from>
    <xdr:to>
      <xdr:col>2</xdr:col>
      <xdr:colOff>5404</xdr:colOff>
      <xdr:row>22</xdr:row>
      <xdr:rowOff>10438</xdr:rowOff>
    </xdr:to>
    <xdr:pic>
      <xdr:nvPicPr>
        <xdr:cNvPr id="153" name="Рисунок 17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09" y="10796430"/>
          <a:ext cx="1599491" cy="727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5890</xdr:colOff>
      <xdr:row>22</xdr:row>
      <xdr:rowOff>15396</xdr:rowOff>
    </xdr:from>
    <xdr:ext cx="1575707" cy="721179"/>
    <xdr:pic>
      <xdr:nvPicPr>
        <xdr:cNvPr id="155" name="Рисунок 9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40" b="25534"/>
        <a:stretch>
          <a:fillRect/>
        </a:stretch>
      </xdr:blipFill>
      <xdr:spPr bwMode="auto">
        <a:xfrm>
          <a:off x="339917" y="11528903"/>
          <a:ext cx="1575707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18</xdr:row>
      <xdr:rowOff>0</xdr:rowOff>
    </xdr:from>
    <xdr:to>
      <xdr:col>2</xdr:col>
      <xdr:colOff>953</xdr:colOff>
      <xdr:row>18</xdr:row>
      <xdr:rowOff>708660</xdr:rowOff>
    </xdr:to>
    <xdr:pic>
      <xdr:nvPicPr>
        <xdr:cNvPr id="156" name="Рисунок 1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10082893"/>
          <a:ext cx="1598022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3680</xdr:colOff>
      <xdr:row>20</xdr:row>
      <xdr:rowOff>2609</xdr:rowOff>
    </xdr:to>
    <xdr:pic>
      <xdr:nvPicPr>
        <xdr:cNvPr id="157" name="Рисунок 12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10804071"/>
          <a:ext cx="1584960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1</xdr:rowOff>
    </xdr:from>
    <xdr:to>
      <xdr:col>2</xdr:col>
      <xdr:colOff>20877</xdr:colOff>
      <xdr:row>110</xdr:row>
      <xdr:rowOff>1</xdr:rowOff>
    </xdr:to>
    <xdr:pic>
      <xdr:nvPicPr>
        <xdr:cNvPr id="158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68632193"/>
          <a:ext cx="1617946" cy="584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-1</xdr:rowOff>
    </xdr:from>
    <xdr:to>
      <xdr:col>1</xdr:col>
      <xdr:colOff>1551349</xdr:colOff>
      <xdr:row>117</xdr:row>
      <xdr:rowOff>626300</xdr:rowOff>
    </xdr:to>
    <xdr:pic>
      <xdr:nvPicPr>
        <xdr:cNvPr id="159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72849287"/>
          <a:ext cx="1589449" cy="62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1551349</xdr:colOff>
      <xdr:row>144</xdr:row>
      <xdr:rowOff>0</xdr:rowOff>
    </xdr:to>
    <xdr:pic>
      <xdr:nvPicPr>
        <xdr:cNvPr id="160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83882630"/>
          <a:ext cx="1589449" cy="43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427972</xdr:rowOff>
    </xdr:from>
    <xdr:to>
      <xdr:col>2</xdr:col>
      <xdr:colOff>0</xdr:colOff>
      <xdr:row>140</xdr:row>
      <xdr:rowOff>427972</xdr:rowOff>
    </xdr:to>
    <xdr:pic>
      <xdr:nvPicPr>
        <xdr:cNvPr id="161" name="Рисунок 11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82149862"/>
          <a:ext cx="1597069" cy="855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227"/>
  <sheetViews>
    <sheetView tabSelected="1" zoomScale="73" zoomScaleNormal="73" workbookViewId="0">
      <selection activeCell="T5" sqref="T5"/>
    </sheetView>
  </sheetViews>
  <sheetFormatPr defaultColWidth="9.140625" defaultRowHeight="18.75"/>
  <cols>
    <col min="1" max="1" width="4.85546875" style="80" customWidth="1"/>
    <col min="2" max="2" width="23.28515625" style="5" customWidth="1"/>
    <col min="3" max="3" width="28.28515625" style="5" customWidth="1"/>
    <col min="4" max="4" width="10.85546875" style="81" customWidth="1"/>
    <col min="5" max="5" width="20.42578125" style="5" customWidth="1"/>
    <col min="6" max="6" width="10.7109375" style="5" customWidth="1"/>
    <col min="7" max="7" width="12.140625" style="5" bestFit="1" customWidth="1"/>
    <col min="8" max="8" width="13.140625" style="5" customWidth="1"/>
    <col min="9" max="9" width="14.28515625" style="5" customWidth="1"/>
    <col min="10" max="10" width="25.28515625" style="5" customWidth="1"/>
    <col min="11" max="11" width="5.85546875" style="5" hidden="1" customWidth="1"/>
    <col min="12" max="12" width="12.28515625" style="5" hidden="1" customWidth="1"/>
    <col min="13" max="13" width="12.42578125" style="5" hidden="1" customWidth="1"/>
    <col min="14" max="14" width="18.85546875" style="5" hidden="1" customWidth="1"/>
    <col min="15" max="15" width="11.7109375" style="5" hidden="1" customWidth="1"/>
    <col min="16" max="16" width="11.5703125" style="5" hidden="1" customWidth="1"/>
    <col min="17" max="17" width="7.7109375" style="5" hidden="1" customWidth="1"/>
    <col min="18" max="18" width="9.7109375" style="85" hidden="1" customWidth="1"/>
    <col min="19" max="19" width="13.28515625" style="5" customWidth="1"/>
    <col min="20" max="24" width="9.140625" style="5" customWidth="1"/>
    <col min="25" max="16384" width="9.140625" style="5"/>
  </cols>
  <sheetData>
    <row r="1" spans="1:25" s="92" customFormat="1" ht="20.25">
      <c r="A1" s="80"/>
      <c r="D1" s="81"/>
      <c r="F1" s="496" t="s">
        <v>144</v>
      </c>
      <c r="G1" s="496"/>
      <c r="J1" s="495"/>
      <c r="L1" s="496"/>
      <c r="R1" s="85"/>
      <c r="U1" s="645"/>
      <c r="V1" s="645"/>
      <c r="W1" s="645"/>
      <c r="X1" s="645"/>
    </row>
    <row r="2" spans="1:25" s="92" customFormat="1" ht="20.25">
      <c r="A2" s="80"/>
      <c r="D2" s="81"/>
      <c r="F2" s="811" t="s">
        <v>147</v>
      </c>
      <c r="G2" s="811"/>
      <c r="J2" s="493"/>
      <c r="L2" s="496"/>
      <c r="R2" s="85"/>
      <c r="U2" s="646"/>
      <c r="V2" s="646"/>
      <c r="W2" s="646"/>
      <c r="X2" s="646"/>
      <c r="Y2" s="493"/>
    </row>
    <row r="3" spans="1:25" s="92" customFormat="1" ht="20.25">
      <c r="A3" s="80"/>
      <c r="D3" s="81"/>
      <c r="F3" s="811" t="s">
        <v>146</v>
      </c>
      <c r="G3" s="811"/>
      <c r="J3" s="494"/>
      <c r="L3" s="496"/>
      <c r="R3" s="85"/>
      <c r="U3" s="646"/>
      <c r="V3" s="646"/>
      <c r="W3" s="646"/>
      <c r="X3" s="646"/>
      <c r="Y3" s="494"/>
    </row>
    <row r="4" spans="1:25" s="92" customFormat="1" ht="20.25">
      <c r="A4" s="80"/>
      <c r="D4" s="81"/>
      <c r="F4" s="811" t="s">
        <v>145</v>
      </c>
      <c r="G4" s="811"/>
      <c r="J4" s="494"/>
      <c r="L4" s="496"/>
      <c r="R4" s="85"/>
      <c r="U4" s="646"/>
      <c r="V4" s="646"/>
      <c r="W4" s="646"/>
      <c r="X4" s="646"/>
      <c r="Y4" s="494"/>
    </row>
    <row r="5" spans="1:25" s="92" customFormat="1" ht="28.5" customHeight="1">
      <c r="A5" s="647"/>
      <c r="B5" s="647"/>
      <c r="C5" s="647"/>
      <c r="D5" s="647"/>
      <c r="E5" s="647"/>
      <c r="F5" s="647"/>
      <c r="G5" s="647"/>
      <c r="H5" s="647"/>
      <c r="I5" s="647"/>
      <c r="J5" s="494"/>
      <c r="R5" s="85"/>
      <c r="V5" s="494"/>
      <c r="W5" s="494"/>
      <c r="X5" s="494"/>
      <c r="Y5" s="494"/>
    </row>
    <row r="6" spans="1:25" ht="38.25" customHeight="1" thickBot="1">
      <c r="A6" s="648" t="s">
        <v>179</v>
      </c>
      <c r="B6" s="648"/>
      <c r="C6" s="648"/>
      <c r="D6" s="648"/>
      <c r="E6" s="648"/>
      <c r="F6" s="648"/>
      <c r="G6" s="648"/>
      <c r="H6" s="648"/>
      <c r="I6" s="648"/>
      <c r="J6" s="648"/>
    </row>
    <row r="7" spans="1:25" ht="62.25" customHeight="1" thickBot="1">
      <c r="A7" s="93" t="s">
        <v>0</v>
      </c>
      <c r="B7" s="594" t="s">
        <v>5</v>
      </c>
      <c r="C7" s="595"/>
      <c r="D7" s="596"/>
      <c r="E7" s="94" t="s">
        <v>7</v>
      </c>
      <c r="F7" s="94" t="s">
        <v>16</v>
      </c>
      <c r="G7" s="94" t="s">
        <v>32</v>
      </c>
      <c r="H7" s="95" t="s">
        <v>8</v>
      </c>
      <c r="I7" s="94" t="s">
        <v>25</v>
      </c>
      <c r="J7" s="94" t="s">
        <v>180</v>
      </c>
      <c r="K7" s="5">
        <v>1.05</v>
      </c>
      <c r="L7" s="6" t="s">
        <v>119</v>
      </c>
      <c r="M7" s="6" t="s">
        <v>120</v>
      </c>
      <c r="N7" s="7" t="s">
        <v>114</v>
      </c>
      <c r="O7" s="7" t="s">
        <v>115</v>
      </c>
      <c r="P7" s="7" t="s">
        <v>116</v>
      </c>
    </row>
    <row r="8" spans="1:25" s="92" customFormat="1" ht="16.5" thickBot="1">
      <c r="A8" s="597" t="s">
        <v>139</v>
      </c>
      <c r="B8" s="598"/>
      <c r="C8" s="598"/>
      <c r="D8" s="598"/>
      <c r="E8" s="598"/>
      <c r="F8" s="598"/>
      <c r="G8" s="598"/>
      <c r="H8" s="598"/>
      <c r="I8" s="598"/>
      <c r="J8" s="598"/>
      <c r="K8" s="153"/>
      <c r="L8" s="154">
        <v>0</v>
      </c>
      <c r="M8" s="68"/>
      <c r="N8" s="106" t="e">
        <v>#DIV/0!</v>
      </c>
      <c r="O8" s="107" t="e">
        <v>#DIV/0!</v>
      </c>
      <c r="P8" s="105" t="e">
        <v>#DIV/0!</v>
      </c>
      <c r="R8" s="158"/>
    </row>
    <row r="9" spans="1:25" s="8" customFormat="1" ht="15.75" customHeight="1" thickBot="1">
      <c r="A9" s="603" t="s">
        <v>3</v>
      </c>
      <c r="B9" s="604"/>
      <c r="C9" s="604"/>
      <c r="D9" s="604"/>
      <c r="E9" s="604"/>
      <c r="F9" s="604"/>
      <c r="G9" s="604"/>
      <c r="H9" s="604"/>
      <c r="I9" s="604"/>
      <c r="J9" s="604"/>
      <c r="M9" s="9"/>
      <c r="R9" s="86"/>
    </row>
    <row r="10" spans="1:25" ht="60" customHeight="1" thickBot="1">
      <c r="A10" s="168">
        <v>1</v>
      </c>
      <c r="B10" s="455"/>
      <c r="C10" s="99" t="s">
        <v>83</v>
      </c>
      <c r="D10" s="100" t="s">
        <v>78</v>
      </c>
      <c r="E10" s="101" t="s">
        <v>11</v>
      </c>
      <c r="F10" s="376">
        <v>70</v>
      </c>
      <c r="G10" s="148">
        <v>9.42</v>
      </c>
      <c r="H10" s="129">
        <v>1499</v>
      </c>
      <c r="I10" s="236">
        <v>13</v>
      </c>
      <c r="J10" s="103">
        <v>2458</v>
      </c>
      <c r="K10" s="82"/>
      <c r="L10" s="83">
        <v>873.73</v>
      </c>
      <c r="M10" s="12">
        <v>1001</v>
      </c>
      <c r="N10" s="13">
        <v>0.2</v>
      </c>
      <c r="O10" s="14">
        <v>0.1</v>
      </c>
      <c r="P10" s="11">
        <v>3.9960039960039939E-2</v>
      </c>
      <c r="R10" s="87">
        <f>1048*1.1</f>
        <v>1152.8000000000002</v>
      </c>
    </row>
    <row r="11" spans="1:25" ht="15" customHeight="1" thickBot="1">
      <c r="A11" s="600" t="s">
        <v>23</v>
      </c>
      <c r="B11" s="601"/>
      <c r="C11" s="601"/>
      <c r="D11" s="601"/>
      <c r="E11" s="601"/>
      <c r="F11" s="601"/>
      <c r="G11" s="601"/>
      <c r="H11" s="601"/>
      <c r="I11" s="601"/>
      <c r="J11" s="601"/>
      <c r="K11" s="84"/>
      <c r="L11" s="83">
        <v>0</v>
      </c>
      <c r="R11" s="87"/>
    </row>
    <row r="12" spans="1:25" ht="60.75" customHeight="1" thickBot="1">
      <c r="A12" s="608">
        <v>2</v>
      </c>
      <c r="B12" s="453"/>
      <c r="C12" s="182" t="s">
        <v>6</v>
      </c>
      <c r="D12" s="119"/>
      <c r="E12" s="606" t="s">
        <v>24</v>
      </c>
      <c r="F12" s="374">
        <v>60</v>
      </c>
      <c r="G12" s="195">
        <v>13.39</v>
      </c>
      <c r="H12" s="179">
        <v>1734</v>
      </c>
      <c r="I12" s="131">
        <v>11</v>
      </c>
      <c r="J12" s="215">
        <v>1636</v>
      </c>
      <c r="K12" s="84"/>
      <c r="L12" s="83">
        <v>591.53</v>
      </c>
      <c r="M12" s="15">
        <v>665</v>
      </c>
      <c r="N12" s="13">
        <v>0.1</v>
      </c>
      <c r="O12" s="14">
        <v>0.05</v>
      </c>
      <c r="P12" s="11">
        <v>0.02</v>
      </c>
      <c r="R12" s="87">
        <f>710*1.1</f>
        <v>781.00000000000011</v>
      </c>
    </row>
    <row r="13" spans="1:25" ht="58.5" customHeight="1" thickBot="1">
      <c r="A13" s="609"/>
      <c r="B13" s="454"/>
      <c r="C13" s="235" t="s">
        <v>85</v>
      </c>
      <c r="D13" s="124" t="s">
        <v>78</v>
      </c>
      <c r="E13" s="607"/>
      <c r="F13" s="375">
        <v>60</v>
      </c>
      <c r="G13" s="196">
        <v>13.39</v>
      </c>
      <c r="H13" s="181">
        <v>1734</v>
      </c>
      <c r="I13" s="167">
        <v>11</v>
      </c>
      <c r="J13" s="4">
        <v>2203</v>
      </c>
      <c r="K13" s="84"/>
      <c r="L13" s="83">
        <v>782.2</v>
      </c>
      <c r="M13" s="15">
        <v>896</v>
      </c>
      <c r="N13" s="13">
        <v>0.3</v>
      </c>
      <c r="O13" s="14">
        <v>0.1</v>
      </c>
      <c r="P13" s="11">
        <v>0.04</v>
      </c>
      <c r="R13" s="87">
        <f>939*1.1</f>
        <v>1032.9000000000001</v>
      </c>
    </row>
    <row r="14" spans="1:25" ht="15" customHeight="1" thickBot="1">
      <c r="A14" s="603" t="s">
        <v>80</v>
      </c>
      <c r="B14" s="604"/>
      <c r="C14" s="604"/>
      <c r="D14" s="604"/>
      <c r="E14" s="604"/>
      <c r="F14" s="604"/>
      <c r="G14" s="604"/>
      <c r="H14" s="604"/>
      <c r="I14" s="604"/>
      <c r="J14" s="604"/>
      <c r="K14" s="84"/>
      <c r="L14" s="83">
        <v>0</v>
      </c>
      <c r="N14" s="5" t="e">
        <v>#DIV/0!</v>
      </c>
      <c r="O14" s="5" t="e">
        <v>#DIV/0!</v>
      </c>
      <c r="P14" s="5" t="e">
        <v>#DIV/0!</v>
      </c>
      <c r="R14" s="87"/>
    </row>
    <row r="15" spans="1:25" ht="57" customHeight="1" thickBot="1">
      <c r="A15" s="613">
        <v>3</v>
      </c>
      <c r="B15" s="534"/>
      <c r="C15" s="531" t="s">
        <v>164</v>
      </c>
      <c r="D15" s="114" t="s">
        <v>78</v>
      </c>
      <c r="E15" s="619" t="s">
        <v>65</v>
      </c>
      <c r="F15" s="616">
        <v>60</v>
      </c>
      <c r="G15" s="632">
        <v>13.44</v>
      </c>
      <c r="H15" s="629">
        <v>1880</v>
      </c>
      <c r="I15" s="635">
        <v>10</v>
      </c>
      <c r="J15" s="575">
        <v>1247</v>
      </c>
      <c r="K15" s="84"/>
      <c r="L15" s="83">
        <v>450.85</v>
      </c>
      <c r="M15" s="16">
        <v>507</v>
      </c>
      <c r="N15" s="13">
        <v>0.1</v>
      </c>
      <c r="O15" s="14">
        <v>0.03</v>
      </c>
      <c r="P15" s="11">
        <v>0.02</v>
      </c>
      <c r="R15" s="87">
        <f>541*1.1</f>
        <v>595.1</v>
      </c>
    </row>
    <row r="16" spans="1:25" ht="57" customHeight="1">
      <c r="A16" s="614"/>
      <c r="B16" s="447"/>
      <c r="C16" s="233" t="s">
        <v>166</v>
      </c>
      <c r="D16" s="115" t="s">
        <v>78</v>
      </c>
      <c r="E16" s="636"/>
      <c r="F16" s="617"/>
      <c r="G16" s="633"/>
      <c r="H16" s="630"/>
      <c r="I16" s="592"/>
      <c r="J16" s="610">
        <v>1430</v>
      </c>
      <c r="K16" s="84"/>
      <c r="L16" s="638"/>
      <c r="M16" s="611"/>
      <c r="N16" s="13" t="e">
        <v>#DIV/0!</v>
      </c>
      <c r="O16" s="14" t="e">
        <v>#DIV/0!</v>
      </c>
      <c r="P16" s="11" t="e">
        <v>#DIV/0!</v>
      </c>
      <c r="R16" s="87"/>
    </row>
    <row r="17" spans="1:18" ht="57" customHeight="1">
      <c r="A17" s="614"/>
      <c r="B17" s="450"/>
      <c r="C17" s="233" t="s">
        <v>160</v>
      </c>
      <c r="D17" s="115" t="s">
        <v>78</v>
      </c>
      <c r="E17" s="636"/>
      <c r="F17" s="617"/>
      <c r="G17" s="633"/>
      <c r="H17" s="630"/>
      <c r="I17" s="592"/>
      <c r="J17" s="611"/>
      <c r="K17" s="84"/>
      <c r="L17" s="638"/>
      <c r="M17" s="611"/>
      <c r="N17" s="13" t="e">
        <v>#DIV/0!</v>
      </c>
      <c r="O17" s="14" t="e">
        <v>#DIV/0!</v>
      </c>
      <c r="P17" s="11" t="e">
        <v>#DIV/0!</v>
      </c>
      <c r="R17" s="87"/>
    </row>
    <row r="18" spans="1:18" ht="57" customHeight="1" thickBot="1">
      <c r="A18" s="614"/>
      <c r="B18" s="452"/>
      <c r="C18" s="233" t="s">
        <v>161</v>
      </c>
      <c r="D18" s="115" t="s">
        <v>78</v>
      </c>
      <c r="E18" s="636"/>
      <c r="F18" s="617"/>
      <c r="G18" s="633"/>
      <c r="H18" s="630"/>
      <c r="I18" s="592"/>
      <c r="J18" s="611"/>
      <c r="K18" s="84"/>
      <c r="L18" s="638"/>
      <c r="M18" s="612"/>
      <c r="N18" s="13" t="e">
        <v>#DIV/0!</v>
      </c>
      <c r="O18" s="14" t="e">
        <v>#DIV/0!</v>
      </c>
      <c r="P18" s="11" t="e">
        <v>#DIV/0!</v>
      </c>
      <c r="R18" s="87"/>
    </row>
    <row r="19" spans="1:18" s="92" customFormat="1" ht="57" customHeight="1" thickBot="1">
      <c r="A19" s="614"/>
      <c r="B19" s="578"/>
      <c r="C19" s="231" t="s">
        <v>165</v>
      </c>
      <c r="D19" s="115" t="s">
        <v>78</v>
      </c>
      <c r="E19" s="636"/>
      <c r="F19" s="617"/>
      <c r="G19" s="633"/>
      <c r="H19" s="630"/>
      <c r="I19" s="592"/>
      <c r="J19" s="611"/>
      <c r="K19" s="153"/>
      <c r="L19" s="430"/>
      <c r="M19" s="576"/>
      <c r="N19" s="106"/>
      <c r="O19" s="107"/>
      <c r="P19" s="105"/>
      <c r="R19" s="158"/>
    </row>
    <row r="20" spans="1:18" s="92" customFormat="1" ht="57" customHeight="1" thickBot="1">
      <c r="A20" s="614"/>
      <c r="B20" s="578"/>
      <c r="C20" s="233" t="s">
        <v>167</v>
      </c>
      <c r="D20" s="115" t="s">
        <v>78</v>
      </c>
      <c r="E20" s="639"/>
      <c r="F20" s="617"/>
      <c r="G20" s="641"/>
      <c r="H20" s="642"/>
      <c r="I20" s="643"/>
      <c r="J20" s="611"/>
      <c r="K20" s="153"/>
      <c r="L20" s="430"/>
      <c r="M20" s="576"/>
      <c r="N20" s="106"/>
      <c r="O20" s="107"/>
      <c r="P20" s="105"/>
      <c r="R20" s="158"/>
    </row>
    <row r="21" spans="1:18" s="92" customFormat="1" ht="57" customHeight="1" thickBot="1">
      <c r="A21" s="614"/>
      <c r="B21" s="578"/>
      <c r="C21" s="233" t="s">
        <v>173</v>
      </c>
      <c r="D21" s="115"/>
      <c r="E21" s="640" t="s">
        <v>172</v>
      </c>
      <c r="F21" s="617"/>
      <c r="G21" s="644">
        <v>11.4</v>
      </c>
      <c r="H21" s="672">
        <v>1606</v>
      </c>
      <c r="I21" s="591">
        <v>12</v>
      </c>
      <c r="J21" s="611"/>
      <c r="K21" s="153"/>
      <c r="L21" s="430"/>
      <c r="M21" s="576"/>
      <c r="N21" s="106"/>
      <c r="O21" s="107"/>
      <c r="P21" s="105"/>
      <c r="R21" s="158"/>
    </row>
    <row r="22" spans="1:18" s="92" customFormat="1" ht="57" customHeight="1" thickBot="1">
      <c r="A22" s="614"/>
      <c r="B22" s="578"/>
      <c r="C22" s="233" t="s">
        <v>174</v>
      </c>
      <c r="D22" s="312"/>
      <c r="E22" s="636"/>
      <c r="F22" s="617"/>
      <c r="G22" s="633"/>
      <c r="H22" s="630"/>
      <c r="I22" s="592"/>
      <c r="J22" s="611"/>
      <c r="K22" s="153"/>
      <c r="L22" s="430"/>
      <c r="M22" s="576"/>
      <c r="N22" s="106"/>
      <c r="O22" s="107"/>
      <c r="P22" s="105"/>
      <c r="R22" s="158"/>
    </row>
    <row r="23" spans="1:18" s="92" customFormat="1" ht="57" customHeight="1" thickBot="1">
      <c r="A23" s="614"/>
      <c r="B23" s="233"/>
      <c r="C23" s="233" t="s">
        <v>175</v>
      </c>
      <c r="D23" s="312"/>
      <c r="E23" s="636"/>
      <c r="F23" s="617"/>
      <c r="G23" s="633"/>
      <c r="H23" s="630"/>
      <c r="I23" s="592"/>
      <c r="J23" s="611"/>
      <c r="K23" s="153"/>
      <c r="L23" s="430"/>
      <c r="M23" s="576"/>
      <c r="N23" s="106"/>
      <c r="O23" s="107"/>
      <c r="P23" s="105"/>
      <c r="R23" s="158"/>
    </row>
    <row r="24" spans="1:18" ht="57" customHeight="1" thickBot="1">
      <c r="A24" s="614"/>
      <c r="B24" s="318"/>
      <c r="C24" s="549" t="s">
        <v>176</v>
      </c>
      <c r="D24" s="172"/>
      <c r="E24" s="636"/>
      <c r="F24" s="617"/>
      <c r="G24" s="633"/>
      <c r="H24" s="630"/>
      <c r="I24" s="592"/>
      <c r="J24" s="612"/>
      <c r="K24" s="84"/>
      <c r="L24" s="83">
        <v>726.27</v>
      </c>
      <c r="M24" s="17">
        <v>816</v>
      </c>
      <c r="N24" s="13">
        <v>0.15</v>
      </c>
      <c r="O24" s="14">
        <v>0.05</v>
      </c>
      <c r="P24" s="11">
        <v>0.03</v>
      </c>
      <c r="R24" s="87">
        <f>872*1.1</f>
        <v>959.2</v>
      </c>
    </row>
    <row r="25" spans="1:18" ht="57" customHeight="1">
      <c r="A25" s="614"/>
      <c r="B25" s="459"/>
      <c r="C25" s="317" t="s">
        <v>162</v>
      </c>
      <c r="D25" s="119" t="s">
        <v>78</v>
      </c>
      <c r="E25" s="636"/>
      <c r="F25" s="617"/>
      <c r="G25" s="633"/>
      <c r="H25" s="630"/>
      <c r="I25" s="592"/>
      <c r="J25" s="611">
        <v>2268</v>
      </c>
      <c r="K25" s="84"/>
      <c r="L25" s="638">
        <v>805.08</v>
      </c>
      <c r="M25" s="610">
        <v>922</v>
      </c>
      <c r="N25" s="13">
        <v>0.3</v>
      </c>
      <c r="O25" s="14">
        <v>0.1</v>
      </c>
      <c r="P25" s="11">
        <v>0.04</v>
      </c>
      <c r="R25" s="87">
        <f>967*1.1</f>
        <v>1063.7</v>
      </c>
    </row>
    <row r="26" spans="1:18" ht="57" customHeight="1">
      <c r="A26" s="614"/>
      <c r="B26" s="457"/>
      <c r="C26" s="233" t="s">
        <v>163</v>
      </c>
      <c r="D26" s="117" t="s">
        <v>78</v>
      </c>
      <c r="E26" s="636"/>
      <c r="F26" s="617"/>
      <c r="G26" s="633"/>
      <c r="H26" s="630"/>
      <c r="I26" s="592"/>
      <c r="J26" s="611"/>
      <c r="K26" s="84"/>
      <c r="L26" s="638"/>
      <c r="M26" s="611"/>
      <c r="N26" s="13" t="e">
        <v>#DIV/0!</v>
      </c>
      <c r="O26" s="14" t="e">
        <v>#DIV/0!</v>
      </c>
      <c r="P26" s="11" t="e">
        <v>#DIV/0!</v>
      </c>
      <c r="R26" s="87"/>
    </row>
    <row r="27" spans="1:18" ht="57" customHeight="1" thickBot="1">
      <c r="A27" s="615"/>
      <c r="B27" s="461"/>
      <c r="C27" s="314" t="s">
        <v>87</v>
      </c>
      <c r="D27" s="124"/>
      <c r="E27" s="637"/>
      <c r="F27" s="618"/>
      <c r="G27" s="634"/>
      <c r="H27" s="631"/>
      <c r="I27" s="593"/>
      <c r="J27" s="612"/>
      <c r="K27" s="84"/>
      <c r="L27" s="638"/>
      <c r="M27" s="612"/>
      <c r="N27" s="13" t="e">
        <v>#DIV/0!</v>
      </c>
      <c r="O27" s="14" t="e">
        <v>#DIV/0!</v>
      </c>
      <c r="P27" s="11" t="e">
        <v>#DIV/0!</v>
      </c>
      <c r="R27" s="87"/>
    </row>
    <row r="28" spans="1:18" s="92" customFormat="1" ht="25.15" customHeight="1" thickBot="1">
      <c r="A28" s="624" t="s">
        <v>157</v>
      </c>
      <c r="B28" s="625"/>
      <c r="C28" s="625"/>
      <c r="D28" s="625"/>
      <c r="E28" s="625"/>
      <c r="F28" s="625"/>
      <c r="G28" s="625"/>
      <c r="H28" s="625"/>
      <c r="I28" s="625"/>
      <c r="J28" s="625"/>
      <c r="K28" s="153"/>
      <c r="L28" s="430"/>
      <c r="M28" s="535"/>
      <c r="N28" s="106"/>
      <c r="O28" s="107"/>
      <c r="P28" s="105"/>
      <c r="R28" s="158"/>
    </row>
    <row r="29" spans="1:18" s="92" customFormat="1" ht="57" customHeight="1" thickBot="1">
      <c r="A29" s="668">
        <v>5</v>
      </c>
      <c r="B29" s="536"/>
      <c r="C29" s="531" t="s">
        <v>50</v>
      </c>
      <c r="D29" s="119"/>
      <c r="E29" s="619" t="s">
        <v>158</v>
      </c>
      <c r="F29" s="626">
        <v>40</v>
      </c>
      <c r="G29" s="632">
        <v>19</v>
      </c>
      <c r="H29" s="629">
        <v>1704</v>
      </c>
      <c r="I29" s="635">
        <v>11</v>
      </c>
      <c r="J29" s="15">
        <v>1183</v>
      </c>
      <c r="K29" s="153"/>
      <c r="L29" s="430"/>
      <c r="M29" s="535"/>
      <c r="N29" s="106"/>
      <c r="O29" s="107"/>
      <c r="P29" s="105"/>
      <c r="R29" s="158"/>
    </row>
    <row r="30" spans="1:18" s="92" customFormat="1" ht="57" customHeight="1" thickBot="1">
      <c r="A30" s="669"/>
      <c r="B30" s="537"/>
      <c r="C30" s="533" t="s">
        <v>38</v>
      </c>
      <c r="D30" s="117" t="s">
        <v>78</v>
      </c>
      <c r="E30" s="636"/>
      <c r="F30" s="627"/>
      <c r="G30" s="633"/>
      <c r="H30" s="630"/>
      <c r="I30" s="592"/>
      <c r="J30" s="15">
        <v>1183</v>
      </c>
      <c r="K30" s="153"/>
      <c r="L30" s="430"/>
      <c r="M30" s="535"/>
      <c r="N30" s="106"/>
      <c r="O30" s="107"/>
      <c r="P30" s="105"/>
      <c r="R30" s="158"/>
    </row>
    <row r="31" spans="1:18" s="92" customFormat="1" ht="57" customHeight="1" thickBot="1">
      <c r="A31" s="669"/>
      <c r="B31" s="537"/>
      <c r="C31" s="533" t="s">
        <v>44</v>
      </c>
      <c r="D31" s="117" t="s">
        <v>78</v>
      </c>
      <c r="E31" s="636"/>
      <c r="F31" s="627"/>
      <c r="G31" s="633"/>
      <c r="H31" s="630"/>
      <c r="I31" s="592"/>
      <c r="J31" s="15">
        <v>1183</v>
      </c>
      <c r="K31" s="153"/>
      <c r="L31" s="430"/>
      <c r="M31" s="535"/>
      <c r="N31" s="106"/>
      <c r="O31" s="107"/>
      <c r="P31" s="105"/>
      <c r="R31" s="158"/>
    </row>
    <row r="32" spans="1:18" s="92" customFormat="1" ht="57" customHeight="1" thickBot="1">
      <c r="A32" s="670"/>
      <c r="B32" s="537"/>
      <c r="C32" s="532" t="s">
        <v>86</v>
      </c>
      <c r="D32" s="124" t="s">
        <v>78</v>
      </c>
      <c r="E32" s="637"/>
      <c r="F32" s="628"/>
      <c r="G32" s="634"/>
      <c r="H32" s="631"/>
      <c r="I32" s="593"/>
      <c r="J32" s="530">
        <v>1797</v>
      </c>
      <c r="K32" s="153"/>
      <c r="L32" s="430"/>
      <c r="M32" s="535"/>
      <c r="N32" s="106"/>
      <c r="O32" s="107"/>
      <c r="P32" s="105"/>
      <c r="R32" s="158"/>
    </row>
    <row r="33" spans="1:18" ht="15" customHeight="1" thickBot="1">
      <c r="A33" s="603" t="s">
        <v>61</v>
      </c>
      <c r="B33" s="604"/>
      <c r="C33" s="604"/>
      <c r="D33" s="604"/>
      <c r="E33" s="604"/>
      <c r="F33" s="604"/>
      <c r="G33" s="604"/>
      <c r="H33" s="604"/>
      <c r="I33" s="604"/>
      <c r="J33" s="604"/>
      <c r="K33" s="84"/>
      <c r="L33" s="83">
        <v>0</v>
      </c>
      <c r="M33" s="18"/>
      <c r="N33" s="13" t="e">
        <v>#DIV/0!</v>
      </c>
      <c r="O33" s="14" t="e">
        <v>#DIV/0!</v>
      </c>
      <c r="P33" s="11" t="e">
        <v>#DIV/0!</v>
      </c>
      <c r="R33" s="87"/>
    </row>
    <row r="34" spans="1:18" s="92" customFormat="1" ht="56.25" customHeight="1" thickBot="1">
      <c r="A34" s="613">
        <v>5</v>
      </c>
      <c r="B34" s="462"/>
      <c r="C34" s="364" t="s">
        <v>6</v>
      </c>
      <c r="D34" s="538"/>
      <c r="E34" s="619" t="s">
        <v>154</v>
      </c>
      <c r="F34" s="626">
        <v>60</v>
      </c>
      <c r="G34" s="372">
        <v>11.29</v>
      </c>
      <c r="H34" s="369">
        <v>1606</v>
      </c>
      <c r="I34" s="370">
        <v>12</v>
      </c>
      <c r="J34" s="103">
        <v>1449</v>
      </c>
      <c r="K34" s="153"/>
      <c r="L34" s="154"/>
      <c r="M34" s="29"/>
      <c r="N34" s="106"/>
      <c r="O34" s="107"/>
      <c r="P34" s="105"/>
      <c r="R34" s="158"/>
    </row>
    <row r="35" spans="1:18" ht="60" customHeight="1" thickBot="1">
      <c r="A35" s="614"/>
      <c r="B35" s="464"/>
      <c r="C35" s="539" t="s">
        <v>68</v>
      </c>
      <c r="D35" s="119" t="s">
        <v>78</v>
      </c>
      <c r="E35" s="620"/>
      <c r="F35" s="627"/>
      <c r="G35" s="373">
        <v>11.29</v>
      </c>
      <c r="H35" s="244">
        <v>1606</v>
      </c>
      <c r="I35" s="245">
        <v>12</v>
      </c>
      <c r="J35" s="575">
        <v>2458</v>
      </c>
      <c r="K35" s="84"/>
      <c r="L35" s="83">
        <v>873.73</v>
      </c>
      <c r="M35" s="19">
        <v>1001</v>
      </c>
      <c r="N35" s="13">
        <v>0.3</v>
      </c>
      <c r="O35" s="14">
        <v>0.1</v>
      </c>
      <c r="P35" s="11">
        <v>3.9960039960039939E-2</v>
      </c>
      <c r="R35" s="87">
        <f>1048*1.1</f>
        <v>1152.8000000000002</v>
      </c>
    </row>
    <row r="36" spans="1:18" ht="60" customHeight="1" thickBot="1">
      <c r="A36" s="614"/>
      <c r="B36" s="318"/>
      <c r="C36" s="547" t="s">
        <v>83</v>
      </c>
      <c r="D36" s="117" t="s">
        <v>78</v>
      </c>
      <c r="E36" s="620"/>
      <c r="F36" s="627"/>
      <c r="G36" s="150">
        <v>11.29</v>
      </c>
      <c r="H36" s="20">
        <v>1606</v>
      </c>
      <c r="I36" s="21">
        <v>12</v>
      </c>
      <c r="J36" s="590">
        <v>2458</v>
      </c>
      <c r="K36" s="84"/>
      <c r="L36" s="83">
        <v>873.73</v>
      </c>
      <c r="M36" s="19">
        <v>1001</v>
      </c>
      <c r="N36" s="13">
        <v>0.3</v>
      </c>
      <c r="O36" s="14">
        <v>0.1</v>
      </c>
      <c r="P36" s="11">
        <v>3.9960039960039939E-2</v>
      </c>
      <c r="R36" s="87"/>
    </row>
    <row r="37" spans="1:18" ht="60" customHeight="1" thickBot="1">
      <c r="A37" s="614"/>
      <c r="B37" s="311"/>
      <c r="C37" s="547" t="s">
        <v>84</v>
      </c>
      <c r="D37" s="117"/>
      <c r="E37" s="620"/>
      <c r="F37" s="627"/>
      <c r="G37" s="150">
        <v>11.29</v>
      </c>
      <c r="H37" s="20">
        <v>1606</v>
      </c>
      <c r="I37" s="21">
        <v>12</v>
      </c>
      <c r="J37" s="590">
        <v>2458</v>
      </c>
      <c r="K37" s="84"/>
      <c r="L37" s="83">
        <v>873.73</v>
      </c>
      <c r="M37" s="19">
        <v>1001</v>
      </c>
      <c r="N37" s="13">
        <v>0.3</v>
      </c>
      <c r="O37" s="14">
        <v>0.1</v>
      </c>
      <c r="P37" s="11">
        <v>3.9960039960039939E-2</v>
      </c>
      <c r="R37" s="87"/>
    </row>
    <row r="38" spans="1:18" ht="60" customHeight="1" thickBot="1">
      <c r="A38" s="615"/>
      <c r="B38" s="463"/>
      <c r="C38" s="540" t="s">
        <v>70</v>
      </c>
      <c r="D38" s="124" t="s">
        <v>78</v>
      </c>
      <c r="E38" s="621"/>
      <c r="F38" s="628"/>
      <c r="G38" s="151">
        <v>11.29</v>
      </c>
      <c r="H38" s="24">
        <v>1606</v>
      </c>
      <c r="I38" s="25">
        <v>12</v>
      </c>
      <c r="J38" s="590">
        <v>2458</v>
      </c>
      <c r="K38" s="84"/>
      <c r="L38" s="83">
        <v>873.73</v>
      </c>
      <c r="M38" s="19">
        <v>1001</v>
      </c>
      <c r="N38" s="13">
        <v>0.3</v>
      </c>
      <c r="O38" s="14">
        <v>0.1</v>
      </c>
      <c r="P38" s="11">
        <v>3.9960039960039939E-2</v>
      </c>
      <c r="R38" s="87"/>
    </row>
    <row r="39" spans="1:18" ht="15" customHeight="1" thickBot="1">
      <c r="A39" s="603" t="s">
        <v>62</v>
      </c>
      <c r="B39" s="604"/>
      <c r="C39" s="604"/>
      <c r="D39" s="671"/>
      <c r="E39" s="604"/>
      <c r="F39" s="604"/>
      <c r="G39" s="604"/>
      <c r="H39" s="604"/>
      <c r="I39" s="604"/>
      <c r="J39" s="604"/>
      <c r="K39" s="84"/>
      <c r="L39" s="83">
        <v>0</v>
      </c>
      <c r="M39" s="26"/>
      <c r="N39" s="13" t="e">
        <v>#DIV/0!</v>
      </c>
      <c r="O39" s="14" t="e">
        <v>#DIV/0!</v>
      </c>
      <c r="P39" s="11" t="e">
        <v>#DIV/0!</v>
      </c>
      <c r="R39" s="87"/>
    </row>
    <row r="40" spans="1:18" ht="57" customHeight="1" thickBot="1">
      <c r="A40" s="608">
        <v>6</v>
      </c>
      <c r="B40" s="467"/>
      <c r="C40" s="366" t="s">
        <v>6</v>
      </c>
      <c r="D40" s="100"/>
      <c r="E40" s="619" t="s">
        <v>67</v>
      </c>
      <c r="F40" s="616">
        <v>60</v>
      </c>
      <c r="G40" s="387">
        <v>11.52</v>
      </c>
      <c r="H40" s="369">
        <v>1635</v>
      </c>
      <c r="I40" s="370">
        <v>12</v>
      </c>
      <c r="J40" s="10">
        <v>1449</v>
      </c>
      <c r="K40" s="84"/>
      <c r="L40" s="83">
        <v>501.69</v>
      </c>
      <c r="M40" s="28">
        <v>564</v>
      </c>
      <c r="N40" s="13">
        <v>0.15</v>
      </c>
      <c r="O40" s="14">
        <v>0.05</v>
      </c>
      <c r="P40" s="11">
        <v>0.02</v>
      </c>
      <c r="R40" s="87">
        <f>602*1.1</f>
        <v>662.2</v>
      </c>
    </row>
    <row r="41" spans="1:18" ht="57" customHeight="1" thickBot="1">
      <c r="A41" s="689"/>
      <c r="B41" s="465"/>
      <c r="C41" s="252" t="s">
        <v>69</v>
      </c>
      <c r="D41" s="237"/>
      <c r="E41" s="636"/>
      <c r="F41" s="617"/>
      <c r="G41" s="373">
        <v>11.52</v>
      </c>
      <c r="H41" s="244">
        <v>1635</v>
      </c>
      <c r="I41" s="245">
        <v>12</v>
      </c>
      <c r="J41" s="575">
        <v>2458</v>
      </c>
      <c r="K41" s="84"/>
      <c r="L41" s="83">
        <v>873.73</v>
      </c>
      <c r="M41" s="19">
        <v>1001</v>
      </c>
      <c r="N41" s="13">
        <v>0.3</v>
      </c>
      <c r="O41" s="14">
        <v>0.1</v>
      </c>
      <c r="P41" s="11">
        <v>3.9960039960039939E-2</v>
      </c>
      <c r="R41" s="87">
        <f>1048*1.1</f>
        <v>1152.8000000000002</v>
      </c>
    </row>
    <row r="42" spans="1:18" ht="57" customHeight="1" thickBot="1">
      <c r="A42" s="609"/>
      <c r="B42" s="466"/>
      <c r="C42" s="365" t="s">
        <v>88</v>
      </c>
      <c r="D42" s="23" t="s">
        <v>78</v>
      </c>
      <c r="E42" s="637"/>
      <c r="F42" s="618"/>
      <c r="G42" s="151">
        <v>11.52</v>
      </c>
      <c r="H42" s="24">
        <v>1635</v>
      </c>
      <c r="I42" s="25">
        <v>12</v>
      </c>
      <c r="J42" s="103">
        <v>2458</v>
      </c>
      <c r="K42" s="84"/>
      <c r="L42" s="83">
        <v>873.73</v>
      </c>
      <c r="M42" s="19">
        <v>1001</v>
      </c>
      <c r="N42" s="13">
        <v>0.3</v>
      </c>
      <c r="O42" s="14">
        <v>0.1</v>
      </c>
      <c r="P42" s="11">
        <v>3.9960039960039939E-2</v>
      </c>
      <c r="R42" s="87"/>
    </row>
    <row r="43" spans="1:18" ht="15" customHeight="1" thickBot="1">
      <c r="A43" s="603" t="s">
        <v>63</v>
      </c>
      <c r="B43" s="604"/>
      <c r="C43" s="604"/>
      <c r="D43" s="604"/>
      <c r="E43" s="604"/>
      <c r="F43" s="604"/>
      <c r="G43" s="604"/>
      <c r="H43" s="604"/>
      <c r="I43" s="604"/>
      <c r="J43" s="604"/>
      <c r="K43" s="84"/>
      <c r="L43" s="83">
        <v>0</v>
      </c>
      <c r="M43" s="29"/>
      <c r="N43" s="13" t="e">
        <v>#DIV/0!</v>
      </c>
      <c r="O43" s="14" t="e">
        <v>#DIV/0!</v>
      </c>
      <c r="P43" s="11" t="e">
        <v>#DIV/0!</v>
      </c>
      <c r="R43" s="87"/>
    </row>
    <row r="44" spans="1:18" ht="57" customHeight="1" thickBot="1">
      <c r="A44" s="613">
        <v>7</v>
      </c>
      <c r="B44" s="468"/>
      <c r="C44" s="239" t="s">
        <v>6</v>
      </c>
      <c r="D44" s="238" t="s">
        <v>78</v>
      </c>
      <c r="E44" s="712" t="s">
        <v>60</v>
      </c>
      <c r="F44" s="665">
        <v>60</v>
      </c>
      <c r="G44" s="371">
        <v>12.96</v>
      </c>
      <c r="H44" s="367">
        <v>1850</v>
      </c>
      <c r="I44" s="368">
        <v>11</v>
      </c>
      <c r="J44" s="183">
        <v>1449</v>
      </c>
      <c r="K44" s="84"/>
      <c r="L44" s="83">
        <v>501.69</v>
      </c>
      <c r="M44" s="1">
        <v>564</v>
      </c>
      <c r="N44" s="13">
        <v>0.15</v>
      </c>
      <c r="O44" s="14">
        <v>0.05</v>
      </c>
      <c r="P44" s="11">
        <v>0.02</v>
      </c>
      <c r="R44" s="87">
        <f>602*1.1</f>
        <v>662.2</v>
      </c>
    </row>
    <row r="45" spans="1:18" ht="57" customHeight="1" thickBot="1">
      <c r="A45" s="614"/>
      <c r="B45" s="253"/>
      <c r="C45" s="239" t="s">
        <v>14</v>
      </c>
      <c r="D45" s="413"/>
      <c r="E45" s="713"/>
      <c r="F45" s="666"/>
      <c r="G45" s="371">
        <v>12.96</v>
      </c>
      <c r="H45" s="367">
        <v>1850</v>
      </c>
      <c r="I45" s="368">
        <v>11</v>
      </c>
      <c r="J45" s="208">
        <v>1511</v>
      </c>
      <c r="K45" s="84"/>
      <c r="L45" s="83"/>
      <c r="M45" s="88"/>
      <c r="N45" s="13"/>
      <c r="O45" s="14"/>
      <c r="P45" s="11"/>
      <c r="R45" s="87"/>
    </row>
    <row r="46" spans="1:18" ht="57" customHeight="1" thickBot="1">
      <c r="A46" s="614"/>
      <c r="B46" s="346"/>
      <c r="C46" s="213" t="s">
        <v>89</v>
      </c>
      <c r="D46" s="238"/>
      <c r="E46" s="713"/>
      <c r="F46" s="666"/>
      <c r="G46" s="246">
        <v>12.96</v>
      </c>
      <c r="H46" s="128">
        <v>1850</v>
      </c>
      <c r="I46" s="31">
        <v>11</v>
      </c>
      <c r="J46" s="575">
        <v>2458</v>
      </c>
      <c r="K46" s="84"/>
      <c r="L46" s="83">
        <v>873.73</v>
      </c>
      <c r="M46" s="3">
        <v>1001</v>
      </c>
      <c r="N46" s="13">
        <v>0.3</v>
      </c>
      <c r="O46" s="14">
        <v>0.1</v>
      </c>
      <c r="P46" s="11">
        <v>3.9960039960039939E-2</v>
      </c>
      <c r="R46" s="87">
        <f>1048*1.1</f>
        <v>1152.8000000000002</v>
      </c>
    </row>
    <row r="47" spans="1:18" ht="57" customHeight="1" thickBot="1">
      <c r="A47" s="614"/>
      <c r="B47" s="250"/>
      <c r="C47" s="89" t="s">
        <v>90</v>
      </c>
      <c r="D47" s="238" t="s">
        <v>78</v>
      </c>
      <c r="E47" s="713"/>
      <c r="F47" s="666"/>
      <c r="G47" s="248">
        <v>12.96</v>
      </c>
      <c r="H47" s="33">
        <v>1850</v>
      </c>
      <c r="I47" s="34">
        <v>11</v>
      </c>
      <c r="J47" s="590">
        <v>2458</v>
      </c>
      <c r="K47" s="153"/>
      <c r="L47" s="154">
        <v>873.73</v>
      </c>
      <c r="M47" s="3">
        <v>1001</v>
      </c>
      <c r="N47" s="106">
        <v>0.3</v>
      </c>
      <c r="O47" s="107">
        <v>0.1</v>
      </c>
      <c r="P47" s="105">
        <v>3.9960039960039939E-2</v>
      </c>
      <c r="Q47" s="92"/>
      <c r="R47" s="158">
        <f>1048*1.1</f>
        <v>1152.8000000000002</v>
      </c>
    </row>
    <row r="48" spans="1:18" s="92" customFormat="1" ht="57" customHeight="1" thickBot="1">
      <c r="A48" s="614"/>
      <c r="B48" s="470"/>
      <c r="C48" s="89" t="s">
        <v>131</v>
      </c>
      <c r="D48" s="238" t="s">
        <v>78</v>
      </c>
      <c r="E48" s="713"/>
      <c r="F48" s="666"/>
      <c r="G48" s="248">
        <v>12.96</v>
      </c>
      <c r="H48" s="33">
        <v>1850</v>
      </c>
      <c r="I48" s="34">
        <v>11</v>
      </c>
      <c r="J48" s="590">
        <v>2458</v>
      </c>
      <c r="K48" s="153"/>
      <c r="L48" s="154">
        <v>873.73</v>
      </c>
      <c r="M48" s="3">
        <v>1001</v>
      </c>
      <c r="N48" s="106">
        <v>0.3</v>
      </c>
      <c r="O48" s="107">
        <v>0.1</v>
      </c>
      <c r="P48" s="105">
        <v>3.9960039960039939E-2</v>
      </c>
      <c r="R48" s="158">
        <f>1048*1.1</f>
        <v>1152.8000000000002</v>
      </c>
    </row>
    <row r="49" spans="1:19" s="92" customFormat="1" ht="57" customHeight="1" thickBot="1">
      <c r="A49" s="615"/>
      <c r="B49" s="469"/>
      <c r="C49" s="90" t="s">
        <v>85</v>
      </c>
      <c r="D49" s="238" t="s">
        <v>78</v>
      </c>
      <c r="E49" s="714"/>
      <c r="F49" s="667"/>
      <c r="G49" s="247">
        <v>12.96</v>
      </c>
      <c r="H49" s="36">
        <v>1850</v>
      </c>
      <c r="I49" s="37">
        <v>11</v>
      </c>
      <c r="J49" s="590">
        <v>2458</v>
      </c>
      <c r="K49" s="153"/>
      <c r="L49" s="154">
        <v>873.73</v>
      </c>
      <c r="M49" s="3">
        <v>1001</v>
      </c>
      <c r="N49" s="106">
        <v>0.3</v>
      </c>
      <c r="O49" s="107">
        <v>0.1</v>
      </c>
      <c r="P49" s="105">
        <v>3.9960039960039939E-2</v>
      </c>
      <c r="R49" s="158">
        <f>1048*1.1</f>
        <v>1152.8000000000002</v>
      </c>
    </row>
    <row r="50" spans="1:19" ht="15" customHeight="1" thickBot="1">
      <c r="A50" s="603" t="s">
        <v>71</v>
      </c>
      <c r="B50" s="604"/>
      <c r="C50" s="604"/>
      <c r="D50" s="604"/>
      <c r="E50" s="604"/>
      <c r="F50" s="604"/>
      <c r="G50" s="604"/>
      <c r="H50" s="604"/>
      <c r="I50" s="604"/>
      <c r="J50" s="604"/>
      <c r="K50" s="84"/>
      <c r="L50" s="83">
        <v>0</v>
      </c>
      <c r="M50" s="26"/>
      <c r="N50" s="13" t="e">
        <v>#DIV/0!</v>
      </c>
      <c r="O50" s="14" t="e">
        <v>#DIV/0!</v>
      </c>
      <c r="P50" s="11" t="e">
        <v>#DIV/0!</v>
      </c>
      <c r="R50" s="87"/>
    </row>
    <row r="51" spans="1:19" ht="57" customHeight="1" thickBot="1">
      <c r="A51" s="613">
        <v>8</v>
      </c>
      <c r="B51" s="374"/>
      <c r="C51" s="38" t="s">
        <v>90</v>
      </c>
      <c r="D51" s="39"/>
      <c r="E51" s="719" t="s">
        <v>127</v>
      </c>
      <c r="F51" s="665">
        <v>60</v>
      </c>
      <c r="G51" s="246">
        <v>12.7</v>
      </c>
      <c r="H51" s="30">
        <v>1770</v>
      </c>
      <c r="I51" s="40">
        <v>11</v>
      </c>
      <c r="J51" s="590">
        <v>2458</v>
      </c>
      <c r="K51" s="84"/>
      <c r="L51" s="83">
        <v>873.73</v>
      </c>
      <c r="M51" s="41">
        <v>1001</v>
      </c>
      <c r="N51" s="13">
        <v>0.3</v>
      </c>
      <c r="O51" s="14">
        <v>0.1</v>
      </c>
      <c r="P51" s="11">
        <v>3.9960039960039939E-2</v>
      </c>
      <c r="R51" s="87">
        <f>1048*1.1</f>
        <v>1152.8000000000002</v>
      </c>
    </row>
    <row r="52" spans="1:19" ht="57.75" customHeight="1" thickBot="1">
      <c r="A52" s="615"/>
      <c r="B52" s="471"/>
      <c r="C52" s="35" t="s">
        <v>91</v>
      </c>
      <c r="D52" s="42"/>
      <c r="E52" s="720"/>
      <c r="F52" s="667"/>
      <c r="G52" s="247">
        <v>12.7</v>
      </c>
      <c r="H52" s="36">
        <v>1770</v>
      </c>
      <c r="I52" s="43">
        <v>11</v>
      </c>
      <c r="J52" s="590">
        <v>2458</v>
      </c>
      <c r="K52" s="84"/>
      <c r="L52" s="83">
        <v>873.73</v>
      </c>
      <c r="M52" s="44">
        <v>1001</v>
      </c>
      <c r="N52" s="13">
        <v>0.3</v>
      </c>
      <c r="O52" s="14">
        <v>0.1</v>
      </c>
      <c r="P52" s="11">
        <v>3.9960039960039939E-2</v>
      </c>
      <c r="R52" s="87"/>
    </row>
    <row r="53" spans="1:19" ht="18.75" customHeight="1" thickBot="1">
      <c r="A53" s="603" t="s">
        <v>110</v>
      </c>
      <c r="B53" s="604"/>
      <c r="C53" s="604"/>
      <c r="D53" s="604"/>
      <c r="E53" s="604"/>
      <c r="F53" s="604"/>
      <c r="G53" s="604"/>
      <c r="H53" s="604"/>
      <c r="I53" s="604"/>
      <c r="J53" s="671"/>
      <c r="K53" s="84"/>
      <c r="L53" s="83">
        <v>0</v>
      </c>
      <c r="M53" s="18"/>
      <c r="N53" s="13" t="e">
        <v>#DIV/0!</v>
      </c>
      <c r="O53" s="14" t="e">
        <v>#DIV/0!</v>
      </c>
      <c r="P53" s="11" t="e">
        <v>#DIV/0!</v>
      </c>
      <c r="R53" s="87"/>
    </row>
    <row r="54" spans="1:19" ht="57" customHeight="1" thickBot="1">
      <c r="A54" s="613">
        <v>9</v>
      </c>
      <c r="B54" s="472"/>
      <c r="C54" s="325" t="s">
        <v>6</v>
      </c>
      <c r="D54" s="380"/>
      <c r="E54" s="673" t="s">
        <v>153</v>
      </c>
      <c r="F54" s="709">
        <v>80</v>
      </c>
      <c r="G54" s="559">
        <v>10.8</v>
      </c>
      <c r="H54" s="367">
        <v>2024</v>
      </c>
      <c r="I54" s="563">
        <v>10</v>
      </c>
      <c r="J54" s="91">
        <v>2035</v>
      </c>
      <c r="K54" s="84"/>
      <c r="L54" s="83">
        <v>738.98</v>
      </c>
      <c r="M54" s="1">
        <v>830</v>
      </c>
      <c r="N54" s="13">
        <v>0.15</v>
      </c>
      <c r="O54" s="14">
        <v>0.05</v>
      </c>
      <c r="P54" s="11">
        <v>2.0000000000000018E-2</v>
      </c>
      <c r="R54" s="87">
        <f>887*1.1</f>
        <v>975.7</v>
      </c>
    </row>
    <row r="55" spans="1:19" ht="57" customHeight="1" thickBot="1">
      <c r="A55" s="614"/>
      <c r="B55" s="475"/>
      <c r="C55" s="325" t="s">
        <v>14</v>
      </c>
      <c r="D55" s="380"/>
      <c r="E55" s="673"/>
      <c r="F55" s="710"/>
      <c r="G55" s="559">
        <v>10.8</v>
      </c>
      <c r="H55" s="367">
        <v>2024</v>
      </c>
      <c r="I55" s="563">
        <v>10</v>
      </c>
      <c r="J55" s="112">
        <v>2018</v>
      </c>
      <c r="K55" s="84"/>
      <c r="L55" s="83">
        <v>818.64</v>
      </c>
      <c r="M55" s="2">
        <v>920</v>
      </c>
      <c r="N55" s="13">
        <v>0.15</v>
      </c>
      <c r="O55" s="14">
        <v>0.05</v>
      </c>
      <c r="P55" s="11">
        <v>0.03</v>
      </c>
      <c r="R55" s="87">
        <f>983*1.1</f>
        <v>1081.3000000000002</v>
      </c>
      <c r="S55" s="567"/>
    </row>
    <row r="56" spans="1:19" ht="57" customHeight="1" thickBot="1">
      <c r="A56" s="614"/>
      <c r="B56" s="473"/>
      <c r="C56" s="212" t="s">
        <v>85</v>
      </c>
      <c r="D56" s="225" t="s">
        <v>78</v>
      </c>
      <c r="E56" s="673"/>
      <c r="F56" s="710"/>
      <c r="G56" s="560">
        <v>10.8</v>
      </c>
      <c r="H56" s="378">
        <v>2024</v>
      </c>
      <c r="I56" s="564">
        <v>10</v>
      </c>
      <c r="J56" s="165">
        <v>2783</v>
      </c>
      <c r="K56" s="84"/>
      <c r="L56" s="83">
        <v>960.17</v>
      </c>
      <c r="M56" s="3">
        <v>1100</v>
      </c>
      <c r="N56" s="13">
        <v>0.3</v>
      </c>
      <c r="O56" s="14">
        <v>0.1</v>
      </c>
      <c r="P56" s="11">
        <v>4.0000000000000036E-2</v>
      </c>
      <c r="R56" s="87">
        <f>1153*1.1</f>
        <v>1268.3000000000002</v>
      </c>
      <c r="S56" s="567"/>
    </row>
    <row r="57" spans="1:19" ht="57" customHeight="1" thickBot="1">
      <c r="A57" s="614"/>
      <c r="B57" s="230"/>
      <c r="C57" s="89" t="s">
        <v>96</v>
      </c>
      <c r="D57" s="226"/>
      <c r="E57" s="673"/>
      <c r="F57" s="710"/>
      <c r="G57" s="561">
        <v>10.8</v>
      </c>
      <c r="H57" s="33">
        <v>2024</v>
      </c>
      <c r="I57" s="34">
        <v>10</v>
      </c>
      <c r="J57" s="165">
        <v>2783</v>
      </c>
      <c r="K57" s="84"/>
      <c r="L57" s="83">
        <v>960.17</v>
      </c>
      <c r="M57" s="3">
        <v>1100</v>
      </c>
      <c r="N57" s="13">
        <v>0.3</v>
      </c>
      <c r="O57" s="14">
        <v>0.1</v>
      </c>
      <c r="P57" s="11">
        <v>4.0000000000000036E-2</v>
      </c>
      <c r="R57" s="87"/>
      <c r="S57" s="567"/>
    </row>
    <row r="58" spans="1:19" ht="57" customHeight="1" thickBot="1">
      <c r="A58" s="614"/>
      <c r="B58" s="230"/>
      <c r="C58" s="89" t="s">
        <v>107</v>
      </c>
      <c r="D58" s="226"/>
      <c r="E58" s="673" t="s">
        <v>152</v>
      </c>
      <c r="F58" s="710"/>
      <c r="G58" s="561">
        <v>10.8</v>
      </c>
      <c r="H58" s="33">
        <v>2014</v>
      </c>
      <c r="I58" s="34">
        <v>10</v>
      </c>
      <c r="J58" s="165">
        <v>2783</v>
      </c>
      <c r="K58" s="84"/>
      <c r="L58" s="83">
        <v>960.17</v>
      </c>
      <c r="M58" s="3">
        <v>1100</v>
      </c>
      <c r="N58" s="13">
        <v>0.3</v>
      </c>
      <c r="O58" s="14">
        <v>0.1</v>
      </c>
      <c r="P58" s="11">
        <v>4.0000000000000036E-2</v>
      </c>
      <c r="R58" s="87"/>
    </row>
    <row r="59" spans="1:19" ht="57" customHeight="1" thickBot="1">
      <c r="A59" s="614"/>
      <c r="B59" s="230"/>
      <c r="C59" s="89" t="s">
        <v>90</v>
      </c>
      <c r="D59" s="226"/>
      <c r="E59" s="673"/>
      <c r="F59" s="710"/>
      <c r="G59" s="561">
        <v>10.8</v>
      </c>
      <c r="H59" s="33">
        <v>2014</v>
      </c>
      <c r="I59" s="34">
        <v>10</v>
      </c>
      <c r="J59" s="165">
        <v>2783</v>
      </c>
      <c r="K59" s="84"/>
      <c r="L59" s="83">
        <v>960.17</v>
      </c>
      <c r="M59" s="3">
        <v>1100</v>
      </c>
      <c r="N59" s="13">
        <v>0.3</v>
      </c>
      <c r="O59" s="14">
        <v>0.1</v>
      </c>
      <c r="P59" s="11">
        <v>4.0000000000000036E-2</v>
      </c>
      <c r="R59" s="87"/>
    </row>
    <row r="60" spans="1:19" ht="57" customHeight="1" thickBot="1">
      <c r="A60" s="614"/>
      <c r="B60" s="230"/>
      <c r="C60" s="89" t="s">
        <v>131</v>
      </c>
      <c r="D60" s="238"/>
      <c r="E60" s="673"/>
      <c r="F60" s="710"/>
      <c r="G60" s="561">
        <v>10.8</v>
      </c>
      <c r="H60" s="33">
        <v>2014</v>
      </c>
      <c r="I60" s="34">
        <v>10</v>
      </c>
      <c r="J60" s="165">
        <v>2783</v>
      </c>
      <c r="K60" s="84"/>
      <c r="L60" s="83">
        <v>960.17</v>
      </c>
      <c r="M60" s="3">
        <v>1100</v>
      </c>
      <c r="N60" s="13">
        <v>0.3</v>
      </c>
      <c r="O60" s="14">
        <v>0.1</v>
      </c>
      <c r="P60" s="11">
        <v>4.0000000000000036E-2</v>
      </c>
      <c r="R60" s="87"/>
    </row>
    <row r="61" spans="1:19" ht="57" customHeight="1" thickBot="1">
      <c r="A61" s="614"/>
      <c r="B61" s="474"/>
      <c r="C61" s="89" t="s">
        <v>95</v>
      </c>
      <c r="D61" s="226"/>
      <c r="E61" s="673"/>
      <c r="F61" s="710"/>
      <c r="G61" s="561">
        <v>10.8</v>
      </c>
      <c r="H61" s="33">
        <v>2014</v>
      </c>
      <c r="I61" s="34">
        <v>10</v>
      </c>
      <c r="J61" s="165">
        <v>2783</v>
      </c>
      <c r="K61" s="84"/>
      <c r="L61" s="83">
        <v>960.17</v>
      </c>
      <c r="M61" s="3">
        <v>1100</v>
      </c>
      <c r="N61" s="13">
        <v>0.3</v>
      </c>
      <c r="O61" s="14">
        <v>0.1</v>
      </c>
      <c r="P61" s="11">
        <v>4.0000000000000036E-2</v>
      </c>
      <c r="R61" s="87"/>
    </row>
    <row r="62" spans="1:19" ht="57" customHeight="1" thickBot="1">
      <c r="A62" s="614"/>
      <c r="B62" s="228"/>
      <c r="C62" s="89" t="s">
        <v>111</v>
      </c>
      <c r="D62" s="226"/>
      <c r="E62" s="673" t="s">
        <v>159</v>
      </c>
      <c r="F62" s="710"/>
      <c r="G62" s="561">
        <v>10.8</v>
      </c>
      <c r="H62" s="33">
        <v>1995</v>
      </c>
      <c r="I62" s="34">
        <v>10</v>
      </c>
      <c r="J62" s="165">
        <v>2783</v>
      </c>
      <c r="K62" s="84"/>
      <c r="L62" s="83">
        <v>960.17</v>
      </c>
      <c r="M62" s="3">
        <v>1100</v>
      </c>
      <c r="N62" s="13">
        <v>0.3</v>
      </c>
      <c r="O62" s="14">
        <v>0.1</v>
      </c>
      <c r="P62" s="11">
        <v>4.0000000000000036E-2</v>
      </c>
      <c r="R62" s="87"/>
    </row>
    <row r="63" spans="1:19" s="92" customFormat="1" ht="57" customHeight="1" thickBot="1">
      <c r="A63" s="614"/>
      <c r="B63" s="476"/>
      <c r="C63" s="231" t="s">
        <v>105</v>
      </c>
      <c r="D63" s="232"/>
      <c r="E63" s="673"/>
      <c r="F63" s="710"/>
      <c r="G63" s="561">
        <v>10.8</v>
      </c>
      <c r="H63" s="33">
        <v>1995</v>
      </c>
      <c r="I63" s="34">
        <v>10</v>
      </c>
      <c r="J63" s="103">
        <v>2899</v>
      </c>
      <c r="K63" s="153"/>
      <c r="L63" s="154"/>
      <c r="M63" s="4">
        <v>1100</v>
      </c>
      <c r="N63" s="106">
        <v>0.3</v>
      </c>
      <c r="O63" s="107">
        <v>0.1</v>
      </c>
      <c r="P63" s="105">
        <v>4.0000000000000036E-2</v>
      </c>
      <c r="R63" s="158"/>
    </row>
    <row r="64" spans="1:19" ht="57" customHeight="1" thickBot="1">
      <c r="A64" s="615"/>
      <c r="B64" s="477"/>
      <c r="C64" s="233" t="s">
        <v>106</v>
      </c>
      <c r="D64" s="172"/>
      <c r="E64" s="721"/>
      <c r="F64" s="711"/>
      <c r="G64" s="562">
        <v>10.8</v>
      </c>
      <c r="H64" s="36">
        <v>1995</v>
      </c>
      <c r="I64" s="37">
        <v>10</v>
      </c>
      <c r="J64" s="103">
        <v>2899</v>
      </c>
      <c r="K64" s="84"/>
      <c r="L64" s="83">
        <v>960.17</v>
      </c>
      <c r="M64" s="4">
        <v>1100</v>
      </c>
      <c r="N64" s="13">
        <v>0.3</v>
      </c>
      <c r="O64" s="14">
        <v>0.1</v>
      </c>
      <c r="P64" s="11">
        <v>4.0000000000000036E-2</v>
      </c>
      <c r="R64" s="87"/>
    </row>
    <row r="65" spans="1:18" ht="15" customHeight="1" thickBot="1">
      <c r="A65" s="603" t="s">
        <v>36</v>
      </c>
      <c r="B65" s="604"/>
      <c r="C65" s="604"/>
      <c r="D65" s="604"/>
      <c r="E65" s="604"/>
      <c r="F65" s="604"/>
      <c r="G65" s="671"/>
      <c r="H65" s="671"/>
      <c r="I65" s="671"/>
      <c r="J65" s="671"/>
      <c r="K65" s="84"/>
      <c r="L65" s="83">
        <v>0</v>
      </c>
      <c r="M65" s="46"/>
      <c r="N65" s="13" t="e">
        <v>#DIV/0!</v>
      </c>
      <c r="O65" s="14" t="e">
        <v>#DIV/0!</v>
      </c>
      <c r="P65" s="11" t="e">
        <v>#DIV/0!</v>
      </c>
      <c r="R65" s="87"/>
    </row>
    <row r="66" spans="1:18" ht="57" customHeight="1" thickBot="1">
      <c r="A66" s="185">
        <v>10</v>
      </c>
      <c r="B66" s="478"/>
      <c r="C66" s="254" t="s">
        <v>6</v>
      </c>
      <c r="D66" s="47" t="s">
        <v>78</v>
      </c>
      <c r="E66" s="376" t="s">
        <v>128</v>
      </c>
      <c r="F66" s="381">
        <v>80</v>
      </c>
      <c r="G66" s="148">
        <v>10</v>
      </c>
      <c r="H66" s="48">
        <v>1506</v>
      </c>
      <c r="I66" s="49">
        <v>13</v>
      </c>
      <c r="J66" s="10">
        <v>1515</v>
      </c>
      <c r="K66" s="84"/>
      <c r="L66" s="83">
        <v>523.73</v>
      </c>
      <c r="M66" s="15">
        <v>589</v>
      </c>
      <c r="N66" s="13">
        <v>0.15</v>
      </c>
      <c r="O66" s="14">
        <v>0.05</v>
      </c>
      <c r="P66" s="11">
        <v>0.02</v>
      </c>
      <c r="R66" s="87">
        <f>629*1.1</f>
        <v>691.90000000000009</v>
      </c>
    </row>
    <row r="67" spans="1:18" ht="15" customHeight="1" thickBot="1">
      <c r="A67" s="603" t="s">
        <v>4</v>
      </c>
      <c r="B67" s="604"/>
      <c r="C67" s="604"/>
      <c r="D67" s="604"/>
      <c r="E67" s="604"/>
      <c r="F67" s="604"/>
      <c r="G67" s="604"/>
      <c r="H67" s="604"/>
      <c r="I67" s="604"/>
      <c r="J67" s="604"/>
      <c r="K67" s="84"/>
      <c r="L67" s="83">
        <v>0</v>
      </c>
      <c r="M67" s="46"/>
      <c r="N67" s="13" t="e">
        <v>#DIV/0!</v>
      </c>
      <c r="O67" s="14" t="e">
        <v>#DIV/0!</v>
      </c>
      <c r="P67" s="11" t="e">
        <v>#DIV/0!</v>
      </c>
      <c r="R67" s="87"/>
    </row>
    <row r="68" spans="1:18" ht="30" customHeight="1">
      <c r="A68" s="668">
        <v>11</v>
      </c>
      <c r="B68" s="727"/>
      <c r="C68" s="683" t="s">
        <v>6</v>
      </c>
      <c r="D68" s="119" t="s">
        <v>78</v>
      </c>
      <c r="E68" s="695" t="s">
        <v>21</v>
      </c>
      <c r="F68" s="374">
        <v>60</v>
      </c>
      <c r="G68" s="195">
        <v>12.9</v>
      </c>
      <c r="H68" s="27">
        <v>1777</v>
      </c>
      <c r="I68" s="50">
        <v>11</v>
      </c>
      <c r="J68" s="215">
        <v>1247</v>
      </c>
      <c r="K68" s="84"/>
      <c r="L68" s="83">
        <v>450.85</v>
      </c>
      <c r="M68" s="51">
        <v>507</v>
      </c>
      <c r="N68" s="13">
        <v>0.1</v>
      </c>
      <c r="O68" s="14">
        <v>0.03</v>
      </c>
      <c r="P68" s="11">
        <v>0.02</v>
      </c>
      <c r="R68" s="87">
        <f>541*1.1</f>
        <v>595.1</v>
      </c>
    </row>
    <row r="69" spans="1:18" ht="30" customHeight="1" thickBot="1">
      <c r="A69" s="669"/>
      <c r="B69" s="728"/>
      <c r="C69" s="684"/>
      <c r="D69" s="522"/>
      <c r="E69" s="696"/>
      <c r="F69" s="385">
        <v>80</v>
      </c>
      <c r="G69" s="382">
        <v>10.75</v>
      </c>
      <c r="H69" s="180">
        <v>1973</v>
      </c>
      <c r="I69" s="257">
        <v>10</v>
      </c>
      <c r="J69" s="4">
        <v>1449</v>
      </c>
      <c r="K69" s="84"/>
      <c r="L69" s="83">
        <v>523.73</v>
      </c>
      <c r="M69" s="52">
        <v>589</v>
      </c>
      <c r="N69" s="13">
        <v>0.1</v>
      </c>
      <c r="O69" s="14">
        <v>0.03</v>
      </c>
      <c r="P69" s="11">
        <v>0.02</v>
      </c>
      <c r="R69" s="87">
        <f>629*1.1</f>
        <v>691.90000000000009</v>
      </c>
    </row>
    <row r="70" spans="1:18" ht="30" customHeight="1">
      <c r="A70" s="669"/>
      <c r="B70" s="699"/>
      <c r="C70" s="678" t="s">
        <v>14</v>
      </c>
      <c r="D70" s="119" t="s">
        <v>78</v>
      </c>
      <c r="E70" s="697"/>
      <c r="F70" s="374">
        <v>60</v>
      </c>
      <c r="G70" s="195">
        <v>12.9</v>
      </c>
      <c r="H70" s="179">
        <v>1777</v>
      </c>
      <c r="I70" s="131">
        <v>11</v>
      </c>
      <c r="J70" s="215">
        <v>1368</v>
      </c>
      <c r="K70" s="84"/>
      <c r="L70" s="83">
        <v>501.69</v>
      </c>
      <c r="M70" s="19">
        <v>564</v>
      </c>
      <c r="N70" s="13">
        <v>0.15</v>
      </c>
      <c r="O70" s="14">
        <v>0.05</v>
      </c>
      <c r="P70" s="11">
        <v>0.03</v>
      </c>
      <c r="R70" s="87">
        <f>602*1.1</f>
        <v>662.2</v>
      </c>
    </row>
    <row r="71" spans="1:18" ht="30" customHeight="1" thickBot="1">
      <c r="A71" s="669"/>
      <c r="B71" s="700"/>
      <c r="C71" s="682"/>
      <c r="D71" s="522"/>
      <c r="E71" s="698"/>
      <c r="F71" s="375">
        <v>80</v>
      </c>
      <c r="G71" s="196">
        <v>10.75</v>
      </c>
      <c r="H71" s="181">
        <v>1973</v>
      </c>
      <c r="I71" s="54">
        <v>10</v>
      </c>
      <c r="J71" s="4">
        <v>1646</v>
      </c>
      <c r="K71" s="84"/>
      <c r="L71" s="83">
        <v>601.69000000000005</v>
      </c>
      <c r="M71" s="53">
        <v>676</v>
      </c>
      <c r="N71" s="13">
        <v>0.15</v>
      </c>
      <c r="O71" s="14">
        <v>0.05</v>
      </c>
      <c r="P71" s="11">
        <v>0.03</v>
      </c>
      <c r="R71" s="87">
        <f>722*1.1</f>
        <v>794.2</v>
      </c>
    </row>
    <row r="72" spans="1:18" s="92" customFormat="1" ht="30" customHeight="1">
      <c r="A72" s="669"/>
      <c r="B72" s="724"/>
      <c r="C72" s="678" t="s">
        <v>44</v>
      </c>
      <c r="D72" s="119" t="s">
        <v>78</v>
      </c>
      <c r="E72" s="698"/>
      <c r="F72" s="386">
        <v>60</v>
      </c>
      <c r="G72" s="383">
        <v>12.9</v>
      </c>
      <c r="H72" s="258">
        <v>1777</v>
      </c>
      <c r="I72" s="259">
        <v>11</v>
      </c>
      <c r="J72" s="215">
        <v>1368</v>
      </c>
      <c r="K72" s="153"/>
      <c r="L72" s="154">
        <v>501.69</v>
      </c>
      <c r="M72" s="19">
        <v>564</v>
      </c>
      <c r="N72" s="106">
        <v>0.15</v>
      </c>
      <c r="O72" s="107">
        <v>0.05</v>
      </c>
      <c r="P72" s="105">
        <v>0.03</v>
      </c>
      <c r="R72" s="158">
        <f>602*1.1</f>
        <v>662.2</v>
      </c>
    </row>
    <row r="73" spans="1:18" s="92" customFormat="1" ht="30" customHeight="1" thickBot="1">
      <c r="A73" s="669"/>
      <c r="B73" s="725"/>
      <c r="C73" s="679"/>
      <c r="D73" s="526"/>
      <c r="E73" s="698"/>
      <c r="F73" s="385">
        <v>80</v>
      </c>
      <c r="G73" s="382">
        <v>10.75</v>
      </c>
      <c r="H73" s="180">
        <v>1973</v>
      </c>
      <c r="I73" s="257">
        <v>10</v>
      </c>
      <c r="J73" s="4">
        <v>1646</v>
      </c>
      <c r="K73" s="153"/>
      <c r="L73" s="154">
        <v>601.69000000000005</v>
      </c>
      <c r="M73" s="53">
        <v>676</v>
      </c>
      <c r="N73" s="106">
        <v>0.15</v>
      </c>
      <c r="O73" s="107">
        <v>0.05</v>
      </c>
      <c r="P73" s="105">
        <v>0.03</v>
      </c>
      <c r="R73" s="158">
        <f>722*1.1</f>
        <v>794.2</v>
      </c>
    </row>
    <row r="74" spans="1:18" ht="30" customHeight="1">
      <c r="A74" s="669"/>
      <c r="B74" s="255"/>
      <c r="C74" s="654" t="s">
        <v>101</v>
      </c>
      <c r="D74" s="119" t="s">
        <v>78</v>
      </c>
      <c r="E74" s="619" t="s">
        <v>21</v>
      </c>
      <c r="F74" s="205">
        <v>60</v>
      </c>
      <c r="G74" s="384">
        <v>12.9</v>
      </c>
      <c r="H74" s="179">
        <v>1777</v>
      </c>
      <c r="I74" s="131">
        <v>11</v>
      </c>
      <c r="J74" s="215">
        <v>2203</v>
      </c>
      <c r="K74" s="84"/>
      <c r="L74" s="83">
        <v>782.2</v>
      </c>
      <c r="M74" s="56">
        <v>896</v>
      </c>
      <c r="N74" s="13">
        <v>0.3</v>
      </c>
      <c r="O74" s="14">
        <v>0.1</v>
      </c>
      <c r="P74" s="11">
        <v>0.04</v>
      </c>
      <c r="R74" s="87">
        <f>939*1.1</f>
        <v>1032.9000000000001</v>
      </c>
    </row>
    <row r="75" spans="1:18" ht="30" customHeight="1" thickBot="1">
      <c r="A75" s="669"/>
      <c r="B75" s="256"/>
      <c r="C75" s="655"/>
      <c r="D75" s="172"/>
      <c r="E75" s="636"/>
      <c r="F75" s="243">
        <v>80</v>
      </c>
      <c r="G75" s="196">
        <v>10.75</v>
      </c>
      <c r="H75" s="181">
        <v>1973</v>
      </c>
      <c r="I75" s="167">
        <v>10</v>
      </c>
      <c r="J75" s="4">
        <v>2475</v>
      </c>
      <c r="K75" s="84"/>
      <c r="L75" s="83">
        <v>879.66</v>
      </c>
      <c r="M75" s="57">
        <v>1008</v>
      </c>
      <c r="N75" s="13">
        <v>0.3</v>
      </c>
      <c r="O75" s="14">
        <v>0.1</v>
      </c>
      <c r="P75" s="11">
        <v>0.04</v>
      </c>
      <c r="R75" s="87">
        <f>1056*1.1</f>
        <v>1161.6000000000001</v>
      </c>
    </row>
    <row r="76" spans="1:18" ht="27.95" customHeight="1">
      <c r="A76" s="669"/>
      <c r="B76" s="255"/>
      <c r="C76" s="731" t="s">
        <v>102</v>
      </c>
      <c r="D76" s="119" t="s">
        <v>78</v>
      </c>
      <c r="E76" s="636"/>
      <c r="F76" s="205">
        <v>60</v>
      </c>
      <c r="G76" s="384">
        <v>12.9</v>
      </c>
      <c r="H76" s="179">
        <v>1777</v>
      </c>
      <c r="I76" s="131">
        <v>11</v>
      </c>
      <c r="J76" s="215">
        <v>2203</v>
      </c>
      <c r="K76" s="84"/>
      <c r="L76" s="83">
        <v>782.2</v>
      </c>
      <c r="M76" s="58">
        <v>896</v>
      </c>
      <c r="N76" s="13">
        <v>0.3</v>
      </c>
      <c r="O76" s="14">
        <v>0.1</v>
      </c>
      <c r="P76" s="11">
        <v>0.04</v>
      </c>
      <c r="R76" s="87"/>
    </row>
    <row r="77" spans="1:18" ht="29.25" customHeight="1" thickBot="1">
      <c r="A77" s="669"/>
      <c r="B77" s="394"/>
      <c r="C77" s="732"/>
      <c r="D77" s="172"/>
      <c r="E77" s="636"/>
      <c r="F77" s="243">
        <v>80</v>
      </c>
      <c r="G77" s="196">
        <v>10.75</v>
      </c>
      <c r="H77" s="181">
        <v>1973</v>
      </c>
      <c r="I77" s="167">
        <v>10</v>
      </c>
      <c r="J77" s="4">
        <v>2475</v>
      </c>
      <c r="K77" s="84"/>
      <c r="L77" s="83">
        <v>879.66</v>
      </c>
      <c r="M77" s="57">
        <v>1008</v>
      </c>
      <c r="N77" s="13">
        <v>0.3</v>
      </c>
      <c r="O77" s="14">
        <v>0.1</v>
      </c>
      <c r="P77" s="11">
        <v>0.04</v>
      </c>
      <c r="R77" s="87"/>
    </row>
    <row r="78" spans="1:18" ht="30" customHeight="1">
      <c r="A78" s="669"/>
      <c r="B78" s="255"/>
      <c r="C78" s="654" t="s">
        <v>103</v>
      </c>
      <c r="D78" s="119" t="s">
        <v>78</v>
      </c>
      <c r="E78" s="636"/>
      <c r="F78" s="205">
        <v>60</v>
      </c>
      <c r="G78" s="195">
        <v>12.9</v>
      </c>
      <c r="H78" s="179">
        <v>1777</v>
      </c>
      <c r="I78" s="131">
        <v>11</v>
      </c>
      <c r="J78" s="215">
        <v>2203</v>
      </c>
      <c r="K78" s="84"/>
      <c r="L78" s="83">
        <v>782.2</v>
      </c>
      <c r="M78" s="58">
        <v>896</v>
      </c>
      <c r="N78" s="13">
        <v>0.3</v>
      </c>
      <c r="O78" s="14">
        <v>0.1</v>
      </c>
      <c r="P78" s="11">
        <v>0.04</v>
      </c>
      <c r="R78" s="87"/>
    </row>
    <row r="79" spans="1:18" ht="30" customHeight="1" thickBot="1">
      <c r="A79" s="669"/>
      <c r="B79" s="256"/>
      <c r="C79" s="655"/>
      <c r="D79" s="172"/>
      <c r="E79" s="636"/>
      <c r="F79" s="243">
        <v>80</v>
      </c>
      <c r="G79" s="196">
        <v>10.75</v>
      </c>
      <c r="H79" s="181">
        <v>1973</v>
      </c>
      <c r="I79" s="167">
        <v>10</v>
      </c>
      <c r="J79" s="4">
        <v>2475</v>
      </c>
      <c r="K79" s="84"/>
      <c r="L79" s="83">
        <v>879.66</v>
      </c>
      <c r="M79" s="57">
        <v>1008</v>
      </c>
      <c r="N79" s="13">
        <v>0.3</v>
      </c>
      <c r="O79" s="14">
        <v>0.1</v>
      </c>
      <c r="P79" s="11">
        <v>0.04</v>
      </c>
      <c r="R79" s="87"/>
    </row>
    <row r="80" spans="1:18" ht="28.5" customHeight="1">
      <c r="A80" s="669"/>
      <c r="B80" s="255"/>
      <c r="C80" s="729" t="s">
        <v>100</v>
      </c>
      <c r="D80" s="119" t="s">
        <v>78</v>
      </c>
      <c r="E80" s="636"/>
      <c r="F80" s="205">
        <v>60</v>
      </c>
      <c r="G80" s="195">
        <v>12.9</v>
      </c>
      <c r="H80" s="179">
        <v>1777</v>
      </c>
      <c r="I80" s="131">
        <v>11</v>
      </c>
      <c r="J80" s="215">
        <v>2203</v>
      </c>
      <c r="K80" s="84"/>
      <c r="L80" s="83">
        <v>782.2</v>
      </c>
      <c r="M80" s="58">
        <v>896</v>
      </c>
      <c r="N80" s="13">
        <v>0.3</v>
      </c>
      <c r="O80" s="14">
        <v>0.1</v>
      </c>
      <c r="P80" s="11">
        <v>0.04</v>
      </c>
      <c r="R80" s="87"/>
    </row>
    <row r="81" spans="1:18" ht="29.25" customHeight="1" thickBot="1">
      <c r="A81" s="669"/>
      <c r="B81" s="394"/>
      <c r="C81" s="730"/>
      <c r="D81" s="172"/>
      <c r="E81" s="636"/>
      <c r="F81" s="243">
        <v>80</v>
      </c>
      <c r="G81" s="196">
        <v>10.75</v>
      </c>
      <c r="H81" s="181">
        <v>1973</v>
      </c>
      <c r="I81" s="167">
        <v>10</v>
      </c>
      <c r="J81" s="4">
        <v>2475</v>
      </c>
      <c r="K81" s="84"/>
      <c r="L81" s="83">
        <v>879.66</v>
      </c>
      <c r="M81" s="57">
        <v>1008</v>
      </c>
      <c r="N81" s="13">
        <v>0.3</v>
      </c>
      <c r="O81" s="14">
        <v>0.1</v>
      </c>
      <c r="P81" s="11">
        <v>0.04</v>
      </c>
      <c r="R81" s="87"/>
    </row>
    <row r="82" spans="1:18" ht="30" customHeight="1">
      <c r="A82" s="669"/>
      <c r="B82" s="397"/>
      <c r="C82" s="652" t="s">
        <v>99</v>
      </c>
      <c r="D82" s="119" t="s">
        <v>78</v>
      </c>
      <c r="E82" s="636"/>
      <c r="F82" s="205">
        <v>60</v>
      </c>
      <c r="G82" s="195">
        <v>12.9</v>
      </c>
      <c r="H82" s="179">
        <v>1777</v>
      </c>
      <c r="I82" s="131">
        <v>11</v>
      </c>
      <c r="J82" s="215">
        <v>2203</v>
      </c>
      <c r="K82" s="84"/>
      <c r="L82" s="83">
        <v>782.2</v>
      </c>
      <c r="M82" s="58">
        <v>896</v>
      </c>
      <c r="N82" s="13">
        <v>0.3</v>
      </c>
      <c r="O82" s="14">
        <v>0.1</v>
      </c>
      <c r="P82" s="11">
        <v>0.04</v>
      </c>
      <c r="R82" s="87"/>
    </row>
    <row r="83" spans="1:18" ht="30" customHeight="1" thickBot="1">
      <c r="A83" s="669"/>
      <c r="B83" s="256"/>
      <c r="C83" s="653"/>
      <c r="D83" s="172"/>
      <c r="E83" s="636"/>
      <c r="F83" s="243">
        <v>80</v>
      </c>
      <c r="G83" s="196">
        <v>10.75</v>
      </c>
      <c r="H83" s="181">
        <v>1973</v>
      </c>
      <c r="I83" s="54">
        <v>10</v>
      </c>
      <c r="J83" s="4">
        <v>2475</v>
      </c>
      <c r="K83" s="84"/>
      <c r="L83" s="83">
        <v>879.66</v>
      </c>
      <c r="M83" s="57">
        <v>1008</v>
      </c>
      <c r="N83" s="13">
        <v>0.3</v>
      </c>
      <c r="O83" s="14">
        <v>0.1</v>
      </c>
      <c r="P83" s="11">
        <v>0.04</v>
      </c>
      <c r="R83" s="87"/>
    </row>
    <row r="84" spans="1:18" ht="30" customHeight="1">
      <c r="A84" s="669"/>
      <c r="B84" s="397"/>
      <c r="C84" s="652" t="s">
        <v>109</v>
      </c>
      <c r="D84" s="119" t="s">
        <v>78</v>
      </c>
      <c r="E84" s="636"/>
      <c r="F84" s="205">
        <v>60</v>
      </c>
      <c r="G84" s="195">
        <v>12.9</v>
      </c>
      <c r="H84" s="179">
        <v>1777</v>
      </c>
      <c r="I84" s="131">
        <v>11</v>
      </c>
      <c r="J84" s="215">
        <v>2203</v>
      </c>
      <c r="K84" s="84"/>
      <c r="L84" s="83">
        <v>782.2</v>
      </c>
      <c r="M84" s="59">
        <v>896</v>
      </c>
      <c r="N84" s="13">
        <v>0.3</v>
      </c>
      <c r="O84" s="14">
        <v>0.1</v>
      </c>
      <c r="P84" s="11">
        <v>0.04</v>
      </c>
      <c r="R84" s="87"/>
    </row>
    <row r="85" spans="1:18" ht="30" customHeight="1" thickBot="1">
      <c r="A85" s="669"/>
      <c r="B85" s="256"/>
      <c r="C85" s="653"/>
      <c r="D85" s="172"/>
      <c r="E85" s="636"/>
      <c r="F85" s="243">
        <v>80</v>
      </c>
      <c r="G85" s="196">
        <v>10.75</v>
      </c>
      <c r="H85" s="181">
        <v>1973</v>
      </c>
      <c r="I85" s="54">
        <v>10</v>
      </c>
      <c r="J85" s="4">
        <v>2475</v>
      </c>
      <c r="K85" s="84"/>
      <c r="L85" s="83">
        <v>879.66</v>
      </c>
      <c r="M85" s="57">
        <v>1008</v>
      </c>
      <c r="N85" s="13">
        <v>0.3</v>
      </c>
      <c r="O85" s="14">
        <v>0.1</v>
      </c>
      <c r="P85" s="11">
        <v>0.04</v>
      </c>
      <c r="R85" s="87"/>
    </row>
    <row r="86" spans="1:18" ht="30" customHeight="1">
      <c r="A86" s="669"/>
      <c r="B86" s="255"/>
      <c r="C86" s="652" t="s">
        <v>97</v>
      </c>
      <c r="D86" s="119" t="s">
        <v>78</v>
      </c>
      <c r="E86" s="636"/>
      <c r="F86" s="205">
        <v>60</v>
      </c>
      <c r="G86" s="195">
        <v>12.9</v>
      </c>
      <c r="H86" s="179">
        <v>1777</v>
      </c>
      <c r="I86" s="131">
        <v>11</v>
      </c>
      <c r="J86" s="215">
        <v>2203</v>
      </c>
      <c r="K86" s="84"/>
      <c r="L86" s="83">
        <v>782.2</v>
      </c>
      <c r="M86" s="58">
        <v>896</v>
      </c>
      <c r="N86" s="13">
        <v>0.3</v>
      </c>
      <c r="O86" s="14">
        <v>0.1</v>
      </c>
      <c r="P86" s="11">
        <v>0.04</v>
      </c>
      <c r="R86" s="87"/>
    </row>
    <row r="87" spans="1:18" ht="30" customHeight="1" thickBot="1">
      <c r="A87" s="669"/>
      <c r="B87" s="256"/>
      <c r="C87" s="653"/>
      <c r="D87" s="172"/>
      <c r="E87" s="636"/>
      <c r="F87" s="243">
        <v>80</v>
      </c>
      <c r="G87" s="196">
        <v>10.75</v>
      </c>
      <c r="H87" s="181">
        <v>1973</v>
      </c>
      <c r="I87" s="54">
        <v>10</v>
      </c>
      <c r="J87" s="4">
        <v>2475</v>
      </c>
      <c r="K87" s="84"/>
      <c r="L87" s="83">
        <v>879.66</v>
      </c>
      <c r="M87" s="57">
        <v>1008</v>
      </c>
      <c r="N87" s="13">
        <v>0.3</v>
      </c>
      <c r="O87" s="14">
        <v>0.1</v>
      </c>
      <c r="P87" s="11">
        <v>0.04</v>
      </c>
      <c r="R87" s="87"/>
    </row>
    <row r="88" spans="1:18" ht="30" customHeight="1">
      <c r="A88" s="669"/>
      <c r="B88" s="255"/>
      <c r="C88" s="652" t="s">
        <v>96</v>
      </c>
      <c r="D88" s="119" t="s">
        <v>78</v>
      </c>
      <c r="E88" s="636"/>
      <c r="F88" s="205">
        <v>60</v>
      </c>
      <c r="G88" s="195">
        <v>12.9</v>
      </c>
      <c r="H88" s="179">
        <v>1777</v>
      </c>
      <c r="I88" s="131">
        <v>11</v>
      </c>
      <c r="J88" s="215">
        <v>2203</v>
      </c>
      <c r="K88" s="84"/>
      <c r="L88" s="83">
        <v>782.2</v>
      </c>
      <c r="M88" s="58">
        <v>896</v>
      </c>
      <c r="N88" s="13">
        <v>0.3</v>
      </c>
      <c r="O88" s="14">
        <v>0.1</v>
      </c>
      <c r="P88" s="11">
        <v>0.04</v>
      </c>
      <c r="R88" s="87"/>
    </row>
    <row r="89" spans="1:18" ht="30" customHeight="1" thickBot="1">
      <c r="A89" s="669"/>
      <c r="B89" s="256"/>
      <c r="C89" s="653"/>
      <c r="D89" s="172"/>
      <c r="E89" s="636"/>
      <c r="F89" s="243">
        <v>80</v>
      </c>
      <c r="G89" s="196">
        <v>10.75</v>
      </c>
      <c r="H89" s="181">
        <v>1973</v>
      </c>
      <c r="I89" s="54">
        <v>10</v>
      </c>
      <c r="J89" s="4">
        <v>2475</v>
      </c>
      <c r="K89" s="84"/>
      <c r="L89" s="83">
        <v>879.66</v>
      </c>
      <c r="M89" s="57">
        <v>1008</v>
      </c>
      <c r="N89" s="13">
        <v>0.3</v>
      </c>
      <c r="O89" s="14">
        <v>0.1</v>
      </c>
      <c r="P89" s="11">
        <v>0.04</v>
      </c>
      <c r="R89" s="87"/>
    </row>
    <row r="90" spans="1:18" ht="30" customHeight="1">
      <c r="A90" s="669"/>
      <c r="B90" s="255"/>
      <c r="C90" s="652" t="s">
        <v>93</v>
      </c>
      <c r="D90" s="119" t="s">
        <v>78</v>
      </c>
      <c r="E90" s="636"/>
      <c r="F90" s="205">
        <v>60</v>
      </c>
      <c r="G90" s="195">
        <v>12.9</v>
      </c>
      <c r="H90" s="179">
        <v>1777</v>
      </c>
      <c r="I90" s="131">
        <v>11</v>
      </c>
      <c r="J90" s="215">
        <v>2203</v>
      </c>
      <c r="K90" s="84"/>
      <c r="L90" s="83">
        <v>782.2</v>
      </c>
      <c r="M90" s="58">
        <v>896</v>
      </c>
      <c r="N90" s="13">
        <v>0.3</v>
      </c>
      <c r="O90" s="14">
        <v>0.1</v>
      </c>
      <c r="P90" s="11">
        <v>0.04</v>
      </c>
      <c r="R90" s="87"/>
    </row>
    <row r="91" spans="1:18" ht="30" customHeight="1" thickBot="1">
      <c r="A91" s="669"/>
      <c r="B91" s="394"/>
      <c r="C91" s="653"/>
      <c r="D91" s="172"/>
      <c r="E91" s="636"/>
      <c r="F91" s="243">
        <v>80</v>
      </c>
      <c r="G91" s="196">
        <v>10.75</v>
      </c>
      <c r="H91" s="181">
        <v>1973</v>
      </c>
      <c r="I91" s="54">
        <v>10</v>
      </c>
      <c r="J91" s="4">
        <v>2475</v>
      </c>
      <c r="K91" s="84"/>
      <c r="L91" s="83">
        <v>879.66</v>
      </c>
      <c r="M91" s="57">
        <v>1008</v>
      </c>
      <c r="N91" s="13">
        <v>0.3</v>
      </c>
      <c r="O91" s="14">
        <v>0.1</v>
      </c>
      <c r="P91" s="11">
        <v>0.04</v>
      </c>
      <c r="R91" s="87"/>
    </row>
    <row r="92" spans="1:18" ht="30" customHeight="1">
      <c r="A92" s="669"/>
      <c r="B92" s="397"/>
      <c r="C92" s="652" t="s">
        <v>94</v>
      </c>
      <c r="D92" s="119"/>
      <c r="E92" s="636"/>
      <c r="F92" s="205">
        <v>60</v>
      </c>
      <c r="G92" s="195">
        <v>12.9</v>
      </c>
      <c r="H92" s="179">
        <v>1777</v>
      </c>
      <c r="I92" s="131">
        <v>11</v>
      </c>
      <c r="J92" s="215">
        <v>2203</v>
      </c>
      <c r="K92" s="84"/>
      <c r="L92" s="83">
        <v>782.2</v>
      </c>
      <c r="M92" s="60">
        <v>896</v>
      </c>
      <c r="N92" s="13">
        <v>0.3</v>
      </c>
      <c r="O92" s="14">
        <v>0.1</v>
      </c>
      <c r="P92" s="11">
        <v>0.04</v>
      </c>
      <c r="R92" s="87"/>
    </row>
    <row r="93" spans="1:18" ht="30" customHeight="1" thickBot="1">
      <c r="A93" s="669"/>
      <c r="B93" s="394"/>
      <c r="C93" s="653"/>
      <c r="D93" s="172"/>
      <c r="E93" s="636"/>
      <c r="F93" s="243">
        <v>80</v>
      </c>
      <c r="G93" s="196">
        <v>10.75</v>
      </c>
      <c r="H93" s="181">
        <v>1973</v>
      </c>
      <c r="I93" s="54">
        <v>10</v>
      </c>
      <c r="J93" s="4">
        <v>2475</v>
      </c>
      <c r="K93" s="84"/>
      <c r="L93" s="83">
        <v>879.66</v>
      </c>
      <c r="M93" s="57">
        <v>1008</v>
      </c>
      <c r="N93" s="13">
        <v>0.3</v>
      </c>
      <c r="O93" s="14">
        <v>0.1</v>
      </c>
      <c r="P93" s="11">
        <v>0.04</v>
      </c>
      <c r="R93" s="87"/>
    </row>
    <row r="94" spans="1:18" s="92" customFormat="1" ht="30" customHeight="1">
      <c r="A94" s="669"/>
      <c r="B94" s="397"/>
      <c r="C94" s="652" t="s">
        <v>112</v>
      </c>
      <c r="D94" s="119" t="s">
        <v>78</v>
      </c>
      <c r="E94" s="636"/>
      <c r="F94" s="205">
        <v>60</v>
      </c>
      <c r="G94" s="195">
        <v>12.9</v>
      </c>
      <c r="H94" s="179">
        <v>1777</v>
      </c>
      <c r="I94" s="131">
        <v>11</v>
      </c>
      <c r="J94" s="215">
        <v>2203</v>
      </c>
      <c r="K94" s="153"/>
      <c r="L94" s="154"/>
      <c r="M94" s="60">
        <v>896</v>
      </c>
      <c r="N94" s="106">
        <v>0.3</v>
      </c>
      <c r="O94" s="107">
        <v>0.1</v>
      </c>
      <c r="P94" s="105">
        <v>0.04</v>
      </c>
      <c r="R94" s="158"/>
    </row>
    <row r="95" spans="1:18" s="92" customFormat="1" ht="30" customHeight="1" thickBot="1">
      <c r="A95" s="669"/>
      <c r="B95" s="394"/>
      <c r="C95" s="653"/>
      <c r="D95" s="172"/>
      <c r="E95" s="636"/>
      <c r="F95" s="243">
        <v>80</v>
      </c>
      <c r="G95" s="196">
        <v>10.75</v>
      </c>
      <c r="H95" s="181">
        <v>1973</v>
      </c>
      <c r="I95" s="54">
        <v>10</v>
      </c>
      <c r="J95" s="4">
        <v>2475</v>
      </c>
      <c r="K95" s="153"/>
      <c r="L95" s="154"/>
      <c r="M95" s="57">
        <v>1008</v>
      </c>
      <c r="N95" s="106">
        <v>0.3</v>
      </c>
      <c r="O95" s="107">
        <v>0.1</v>
      </c>
      <c r="P95" s="105">
        <v>0.04</v>
      </c>
      <c r="R95" s="158"/>
    </row>
    <row r="96" spans="1:18" s="92" customFormat="1" ht="30" customHeight="1">
      <c r="A96" s="669"/>
      <c r="B96" s="548"/>
      <c r="C96" s="652" t="s">
        <v>168</v>
      </c>
      <c r="D96" s="119" t="s">
        <v>78</v>
      </c>
      <c r="E96" s="636"/>
      <c r="F96" s="544">
        <v>60</v>
      </c>
      <c r="G96" s="542">
        <v>12.9</v>
      </c>
      <c r="H96" s="541">
        <v>1777</v>
      </c>
      <c r="I96" s="131">
        <v>11</v>
      </c>
      <c r="J96" s="215">
        <v>2203</v>
      </c>
      <c r="K96" s="153"/>
      <c r="L96" s="154"/>
      <c r="M96" s="60"/>
      <c r="N96" s="106">
        <v>0.3</v>
      </c>
      <c r="O96" s="107">
        <v>0.1</v>
      </c>
      <c r="P96" s="105">
        <v>0.04</v>
      </c>
      <c r="R96" s="158"/>
    </row>
    <row r="97" spans="1:18" s="92" customFormat="1" ht="30" customHeight="1" thickBot="1">
      <c r="A97" s="669"/>
      <c r="B97" s="548"/>
      <c r="C97" s="653"/>
      <c r="D97" s="332"/>
      <c r="E97" s="636"/>
      <c r="F97" s="546">
        <v>80</v>
      </c>
      <c r="G97" s="543">
        <v>10.75</v>
      </c>
      <c r="H97" s="545">
        <v>1973</v>
      </c>
      <c r="I97" s="54">
        <v>10</v>
      </c>
      <c r="J97" s="4">
        <v>2475</v>
      </c>
      <c r="K97" s="153"/>
      <c r="L97" s="154"/>
      <c r="M97" s="60"/>
      <c r="N97" s="106">
        <v>0.3</v>
      </c>
      <c r="O97" s="107">
        <v>0.1</v>
      </c>
      <c r="P97" s="105">
        <v>0.04</v>
      </c>
      <c r="R97" s="158"/>
    </row>
    <row r="98" spans="1:18" s="92" customFormat="1" ht="30" customHeight="1">
      <c r="A98" s="669"/>
      <c r="B98" s="397"/>
      <c r="C98" s="652" t="s">
        <v>133</v>
      </c>
      <c r="D98" s="119"/>
      <c r="E98" s="636"/>
      <c r="F98" s="205">
        <v>60</v>
      </c>
      <c r="G98" s="195">
        <v>12.9</v>
      </c>
      <c r="H98" s="179">
        <v>1777</v>
      </c>
      <c r="I98" s="131">
        <v>11</v>
      </c>
      <c r="J98" s="215">
        <v>2203</v>
      </c>
      <c r="K98" s="153"/>
      <c r="L98" s="154"/>
      <c r="M98" s="60">
        <v>896</v>
      </c>
      <c r="N98" s="106">
        <v>0.3</v>
      </c>
      <c r="O98" s="107">
        <v>0.1</v>
      </c>
      <c r="P98" s="105">
        <v>0.04</v>
      </c>
      <c r="R98" s="158"/>
    </row>
    <row r="99" spans="1:18" s="92" customFormat="1" ht="30" customHeight="1" thickBot="1">
      <c r="A99" s="669"/>
      <c r="B99" s="394"/>
      <c r="C99" s="653"/>
      <c r="D99" s="172"/>
      <c r="E99" s="636"/>
      <c r="F99" s="243">
        <v>80</v>
      </c>
      <c r="G99" s="196">
        <v>10.75</v>
      </c>
      <c r="H99" s="181">
        <v>1973</v>
      </c>
      <c r="I99" s="54">
        <v>10</v>
      </c>
      <c r="J99" s="4">
        <v>2475</v>
      </c>
      <c r="K99" s="153"/>
      <c r="L99" s="154"/>
      <c r="M99" s="57">
        <v>1008</v>
      </c>
      <c r="N99" s="106">
        <v>0.3</v>
      </c>
      <c r="O99" s="107">
        <v>0.1</v>
      </c>
      <c r="P99" s="105">
        <v>0.04</v>
      </c>
      <c r="R99" s="158"/>
    </row>
    <row r="100" spans="1:18" ht="30" customHeight="1">
      <c r="A100" s="669"/>
      <c r="B100" s="390"/>
      <c r="C100" s="726" t="s">
        <v>95</v>
      </c>
      <c r="D100" s="237"/>
      <c r="E100" s="636"/>
      <c r="F100" s="205">
        <v>60</v>
      </c>
      <c r="G100" s="195">
        <v>12.9</v>
      </c>
      <c r="H100" s="179">
        <v>1777</v>
      </c>
      <c r="I100" s="131">
        <v>11</v>
      </c>
      <c r="J100" s="215">
        <v>2203</v>
      </c>
      <c r="K100" s="84"/>
      <c r="L100" s="83">
        <v>782.2</v>
      </c>
      <c r="M100" s="60">
        <v>896</v>
      </c>
      <c r="N100" s="106">
        <v>0.3</v>
      </c>
      <c r="O100" s="107">
        <v>0.1</v>
      </c>
      <c r="P100" s="105">
        <v>0.04</v>
      </c>
      <c r="R100" s="87"/>
    </row>
    <row r="101" spans="1:18" ht="30" customHeight="1" thickBot="1">
      <c r="A101" s="670"/>
      <c r="B101" s="256"/>
      <c r="C101" s="653"/>
      <c r="D101" s="172"/>
      <c r="E101" s="637"/>
      <c r="F101" s="243">
        <v>80</v>
      </c>
      <c r="G101" s="196">
        <v>10.75</v>
      </c>
      <c r="H101" s="181">
        <v>1973</v>
      </c>
      <c r="I101" s="54">
        <v>10</v>
      </c>
      <c r="J101" s="4">
        <v>2475</v>
      </c>
      <c r="K101" s="84"/>
      <c r="L101" s="83">
        <v>879.66</v>
      </c>
      <c r="M101" s="57">
        <v>1008</v>
      </c>
      <c r="N101" s="106">
        <v>0.3</v>
      </c>
      <c r="O101" s="107">
        <v>0.1</v>
      </c>
      <c r="P101" s="105">
        <v>0.04</v>
      </c>
      <c r="R101" s="87"/>
    </row>
    <row r="102" spans="1:18" s="92" customFormat="1" ht="19.899999999999999" customHeight="1" thickBot="1">
      <c r="A102" s="624" t="s">
        <v>169</v>
      </c>
      <c r="B102" s="625"/>
      <c r="C102" s="625"/>
      <c r="D102" s="625"/>
      <c r="E102" s="625"/>
      <c r="F102" s="625"/>
      <c r="G102" s="625"/>
      <c r="H102" s="625"/>
      <c r="I102" s="625"/>
      <c r="J102" s="625"/>
      <c r="K102" s="153"/>
      <c r="L102" s="154"/>
      <c r="M102" s="60"/>
      <c r="N102" s="106"/>
      <c r="O102" s="107"/>
      <c r="P102" s="105"/>
      <c r="R102" s="158"/>
    </row>
    <row r="103" spans="1:18" s="92" customFormat="1" ht="56.45" customHeight="1" thickBot="1">
      <c r="A103" s="589">
        <v>12</v>
      </c>
      <c r="B103" s="556"/>
      <c r="C103" s="557" t="s">
        <v>6</v>
      </c>
      <c r="D103" s="47"/>
      <c r="E103" s="588" t="s">
        <v>21</v>
      </c>
      <c r="F103" s="552">
        <v>60</v>
      </c>
      <c r="G103" s="555">
        <v>12.9</v>
      </c>
      <c r="H103" s="554">
        <v>1777</v>
      </c>
      <c r="I103" s="553">
        <v>11</v>
      </c>
      <c r="J103" s="103">
        <v>1247</v>
      </c>
      <c r="K103" s="153"/>
      <c r="L103" s="154"/>
      <c r="M103" s="60"/>
      <c r="N103" s="558">
        <v>0.1</v>
      </c>
      <c r="O103" s="107">
        <v>0.03</v>
      </c>
      <c r="P103" s="105">
        <v>0.02</v>
      </c>
      <c r="R103" s="158"/>
    </row>
    <row r="104" spans="1:18" ht="16.5" customHeight="1" thickBot="1">
      <c r="A104" s="603" t="s">
        <v>57</v>
      </c>
      <c r="B104" s="604"/>
      <c r="C104" s="604"/>
      <c r="D104" s="604"/>
      <c r="E104" s="604"/>
      <c r="F104" s="604"/>
      <c r="G104" s="604"/>
      <c r="H104" s="604"/>
      <c r="I104" s="604"/>
      <c r="J104" s="601"/>
      <c r="K104" s="84"/>
      <c r="L104" s="83">
        <v>0</v>
      </c>
      <c r="M104" s="26"/>
      <c r="N104" s="13" t="e">
        <v>#DIV/0!</v>
      </c>
      <c r="O104" s="14" t="e">
        <v>#DIV/0!</v>
      </c>
      <c r="P104" s="11" t="e">
        <v>#DIV/0!</v>
      </c>
      <c r="R104" s="87"/>
    </row>
    <row r="105" spans="1:18" ht="45.75" customHeight="1" thickBot="1">
      <c r="A105" s="668">
        <v>12</v>
      </c>
      <c r="B105" s="233"/>
      <c r="C105" s="169" t="s">
        <v>100</v>
      </c>
      <c r="D105" s="119" t="s">
        <v>78</v>
      </c>
      <c r="E105" s="619" t="s">
        <v>58</v>
      </c>
      <c r="F105" s="619">
        <v>40</v>
      </c>
      <c r="G105" s="388">
        <v>20.74</v>
      </c>
      <c r="H105" s="164">
        <v>1903</v>
      </c>
      <c r="I105" s="521">
        <v>10</v>
      </c>
      <c r="J105" s="579">
        <v>1797</v>
      </c>
      <c r="K105" s="84"/>
      <c r="L105" s="83"/>
      <c r="M105" s="52"/>
      <c r="N105" s="106">
        <v>0.3</v>
      </c>
      <c r="O105" s="107">
        <v>0.1</v>
      </c>
      <c r="P105" s="105">
        <v>0.04</v>
      </c>
      <c r="Q105" s="92"/>
      <c r="R105" s="158">
        <f>939*1.1</f>
        <v>1032.9000000000001</v>
      </c>
    </row>
    <row r="106" spans="1:18" ht="45.75" customHeight="1" thickBot="1">
      <c r="A106" s="669"/>
      <c r="B106" s="233"/>
      <c r="C106" s="551" t="s">
        <v>101</v>
      </c>
      <c r="D106" s="119" t="s">
        <v>78</v>
      </c>
      <c r="E106" s="636"/>
      <c r="F106" s="636"/>
      <c r="G106" s="388">
        <v>20.74</v>
      </c>
      <c r="H106" s="164">
        <v>1903</v>
      </c>
      <c r="I106" s="521">
        <v>10</v>
      </c>
      <c r="J106" s="579">
        <v>1797</v>
      </c>
      <c r="K106" s="84"/>
      <c r="L106" s="83"/>
      <c r="M106" s="52"/>
      <c r="N106" s="106">
        <v>0.3</v>
      </c>
      <c r="O106" s="107">
        <v>0.1</v>
      </c>
      <c r="P106" s="105">
        <v>0.04</v>
      </c>
      <c r="Q106" s="92"/>
      <c r="R106" s="158">
        <f>939*1.1</f>
        <v>1032.9000000000001</v>
      </c>
    </row>
    <row r="107" spans="1:18" ht="45.75" customHeight="1" thickBot="1">
      <c r="A107" s="669"/>
      <c r="B107" s="233"/>
      <c r="C107" s="551" t="s">
        <v>92</v>
      </c>
      <c r="D107" s="119" t="s">
        <v>78</v>
      </c>
      <c r="E107" s="636"/>
      <c r="F107" s="636"/>
      <c r="G107" s="388">
        <v>20.74</v>
      </c>
      <c r="H107" s="164">
        <v>1903</v>
      </c>
      <c r="I107" s="521">
        <v>10</v>
      </c>
      <c r="J107" s="579">
        <v>1797</v>
      </c>
      <c r="K107" s="84"/>
      <c r="L107" s="83"/>
      <c r="M107" s="52"/>
      <c r="N107" s="106">
        <v>0.3</v>
      </c>
      <c r="O107" s="107">
        <v>0.1</v>
      </c>
      <c r="P107" s="105">
        <v>0.04</v>
      </c>
      <c r="Q107" s="92"/>
      <c r="R107" s="158">
        <f>939*1.1</f>
        <v>1032.9000000000001</v>
      </c>
    </row>
    <row r="108" spans="1:18" s="92" customFormat="1" ht="45.75" customHeight="1" thickBot="1">
      <c r="A108" s="669"/>
      <c r="B108" s="184"/>
      <c r="C108" s="551" t="s">
        <v>155</v>
      </c>
      <c r="D108" s="119" t="s">
        <v>78</v>
      </c>
      <c r="E108" s="636"/>
      <c r="F108" s="636"/>
      <c r="G108" s="388">
        <v>20.74</v>
      </c>
      <c r="H108" s="164">
        <v>1903</v>
      </c>
      <c r="I108" s="521">
        <v>10</v>
      </c>
      <c r="J108" s="579">
        <v>1797</v>
      </c>
      <c r="K108" s="153"/>
      <c r="L108" s="154"/>
      <c r="M108" s="52"/>
      <c r="N108" s="106">
        <v>0.3</v>
      </c>
      <c r="O108" s="107">
        <v>0.1</v>
      </c>
      <c r="P108" s="105">
        <v>0.04</v>
      </c>
      <c r="R108" s="158"/>
    </row>
    <row r="109" spans="1:18" ht="46.5" customHeight="1" thickBot="1">
      <c r="A109" s="669"/>
      <c r="B109" s="184"/>
      <c r="C109" s="551" t="s">
        <v>68</v>
      </c>
      <c r="D109" s="550" t="s">
        <v>78</v>
      </c>
      <c r="E109" s="636"/>
      <c r="F109" s="636"/>
      <c r="G109" s="388">
        <v>20.74</v>
      </c>
      <c r="H109" s="164">
        <v>1903</v>
      </c>
      <c r="I109" s="521">
        <v>10</v>
      </c>
      <c r="J109" s="579">
        <v>1797</v>
      </c>
      <c r="K109" s="84"/>
      <c r="L109" s="83">
        <v>782.2</v>
      </c>
      <c r="M109" s="55">
        <v>896</v>
      </c>
      <c r="N109" s="106">
        <v>0.3</v>
      </c>
      <c r="O109" s="107">
        <v>0.1</v>
      </c>
      <c r="P109" s="105">
        <v>0.04</v>
      </c>
      <c r="R109" s="87">
        <f>939*1.1</f>
        <v>1032.9000000000001</v>
      </c>
    </row>
    <row r="110" spans="1:18" s="92" customFormat="1" ht="46.5" customHeight="1" thickBot="1">
      <c r="A110" s="669"/>
      <c r="B110" s="549"/>
      <c r="C110" s="551" t="s">
        <v>177</v>
      </c>
      <c r="D110" s="550" t="s">
        <v>78</v>
      </c>
      <c r="E110" s="636"/>
      <c r="F110" s="636"/>
      <c r="G110" s="388">
        <v>20.74</v>
      </c>
      <c r="H110" s="164">
        <v>1903</v>
      </c>
      <c r="I110" s="521">
        <v>10</v>
      </c>
      <c r="J110" s="579">
        <v>1797</v>
      </c>
      <c r="K110" s="153"/>
      <c r="L110" s="154"/>
      <c r="M110" s="60"/>
      <c r="N110" s="106"/>
      <c r="O110" s="107"/>
      <c r="P110" s="105"/>
      <c r="R110" s="158"/>
    </row>
    <row r="111" spans="1:18" s="92" customFormat="1" ht="46.5" customHeight="1" thickBot="1">
      <c r="A111" s="670"/>
      <c r="B111" s="549"/>
      <c r="C111" s="170" t="s">
        <v>168</v>
      </c>
      <c r="D111" s="550" t="s">
        <v>78</v>
      </c>
      <c r="E111" s="637"/>
      <c r="F111" s="637"/>
      <c r="G111" s="388">
        <v>20.74</v>
      </c>
      <c r="H111" s="164">
        <v>1903</v>
      </c>
      <c r="I111" s="521">
        <v>10</v>
      </c>
      <c r="J111" s="579">
        <v>1797</v>
      </c>
      <c r="K111" s="153"/>
      <c r="L111" s="154"/>
      <c r="M111" s="60"/>
      <c r="N111" s="106">
        <v>0.3</v>
      </c>
      <c r="O111" s="107">
        <v>0.1</v>
      </c>
      <c r="P111" s="105">
        <v>0.04</v>
      </c>
      <c r="R111" s="158"/>
    </row>
    <row r="112" spans="1:18" ht="17.25" customHeight="1" thickBot="1">
      <c r="A112" s="656" t="s">
        <v>121</v>
      </c>
      <c r="B112" s="657"/>
      <c r="C112" s="657"/>
      <c r="D112" s="657"/>
      <c r="E112" s="657"/>
      <c r="F112" s="657"/>
      <c r="G112" s="657"/>
      <c r="H112" s="657"/>
      <c r="I112" s="657"/>
      <c r="J112" s="658"/>
      <c r="K112" s="84"/>
      <c r="L112" s="83"/>
      <c r="M112" s="60"/>
      <c r="N112" s="13"/>
      <c r="O112" s="107"/>
      <c r="P112" s="11"/>
      <c r="R112" s="87"/>
    </row>
    <row r="113" spans="1:18" ht="50.25" customHeight="1" thickBot="1">
      <c r="A113" s="613">
        <v>13</v>
      </c>
      <c r="B113" s="308"/>
      <c r="C113" s="169" t="s">
        <v>101</v>
      </c>
      <c r="D113" s="114" t="s">
        <v>78</v>
      </c>
      <c r="E113" s="674" t="s">
        <v>122</v>
      </c>
      <c r="F113" s="619">
        <v>60</v>
      </c>
      <c r="G113" s="414">
        <v>13.18</v>
      </c>
      <c r="H113" s="160">
        <v>1815</v>
      </c>
      <c r="I113" s="161">
        <v>11</v>
      </c>
      <c r="J113" s="579">
        <v>2268</v>
      </c>
      <c r="K113" s="84"/>
      <c r="L113" s="83"/>
      <c r="M113" s="60"/>
      <c r="N113" s="13"/>
      <c r="O113" s="14"/>
      <c r="P113" s="11"/>
      <c r="R113" s="87">
        <f>967*1.1</f>
        <v>1063.7</v>
      </c>
    </row>
    <row r="114" spans="1:18" ht="49.5" customHeight="1" thickBot="1">
      <c r="A114" s="615"/>
      <c r="B114" s="309"/>
      <c r="C114" s="170" t="s">
        <v>92</v>
      </c>
      <c r="D114" s="114"/>
      <c r="E114" s="675"/>
      <c r="F114" s="637"/>
      <c r="G114" s="415">
        <v>13.18</v>
      </c>
      <c r="H114" s="162">
        <v>1815</v>
      </c>
      <c r="I114" s="163">
        <v>11</v>
      </c>
      <c r="J114" s="579">
        <v>2268</v>
      </c>
      <c r="K114" s="84"/>
      <c r="L114" s="83"/>
      <c r="M114" s="60"/>
      <c r="N114" s="13"/>
      <c r="O114" s="14"/>
      <c r="P114" s="11"/>
      <c r="R114" s="87"/>
    </row>
    <row r="115" spans="1:18" s="92" customFormat="1" ht="25.15" customHeight="1" thickBot="1">
      <c r="A115" s="624" t="s">
        <v>178</v>
      </c>
      <c r="B115" s="625"/>
      <c r="C115" s="625"/>
      <c r="D115" s="625"/>
      <c r="E115" s="625"/>
      <c r="F115" s="715"/>
      <c r="G115" s="715"/>
      <c r="H115" s="715"/>
      <c r="I115" s="715"/>
      <c r="J115" s="715"/>
      <c r="K115" s="153"/>
      <c r="L115" s="154"/>
      <c r="M115" s="60"/>
      <c r="N115" s="106"/>
      <c r="O115" s="107"/>
      <c r="P115" s="105"/>
      <c r="R115" s="158"/>
    </row>
    <row r="116" spans="1:18" s="92" customFormat="1" ht="49.5" customHeight="1" thickBot="1">
      <c r="A116" s="668">
        <v>14</v>
      </c>
      <c r="B116" s="366"/>
      <c r="C116" s="169" t="s">
        <v>101</v>
      </c>
      <c r="D116" s="114" t="s">
        <v>78</v>
      </c>
      <c r="E116" s="716" t="s">
        <v>156</v>
      </c>
      <c r="F116" s="690">
        <v>60</v>
      </c>
      <c r="G116" s="587">
        <v>12.9</v>
      </c>
      <c r="H116" s="587">
        <v>1761</v>
      </c>
      <c r="I116" s="587">
        <v>11</v>
      </c>
      <c r="J116" s="579">
        <v>2203</v>
      </c>
      <c r="K116" s="153"/>
      <c r="L116" s="154"/>
      <c r="M116" s="60"/>
      <c r="N116" s="106"/>
      <c r="O116" s="107"/>
      <c r="P116" s="105"/>
      <c r="R116" s="158"/>
    </row>
    <row r="117" spans="1:18" s="92" customFormat="1" ht="49.5" customHeight="1" thickBot="1">
      <c r="A117" s="669"/>
      <c r="B117" s="529"/>
      <c r="C117" s="89" t="s">
        <v>91</v>
      </c>
      <c r="D117" s="114" t="s">
        <v>78</v>
      </c>
      <c r="E117" s="717"/>
      <c r="F117" s="691"/>
      <c r="G117" s="587">
        <v>12.9</v>
      </c>
      <c r="H117" s="587">
        <v>1761</v>
      </c>
      <c r="I117" s="587">
        <v>11</v>
      </c>
      <c r="J117" s="579">
        <v>2203</v>
      </c>
      <c r="K117" s="153"/>
      <c r="L117" s="154"/>
      <c r="M117" s="60"/>
      <c r="N117" s="106"/>
      <c r="O117" s="107"/>
      <c r="P117" s="105"/>
      <c r="R117" s="158"/>
    </row>
    <row r="118" spans="1:18" s="92" customFormat="1" ht="49.5" customHeight="1" thickBot="1">
      <c r="A118" s="669"/>
      <c r="B118" s="577"/>
      <c r="C118" s="90" t="s">
        <v>85</v>
      </c>
      <c r="D118" s="114" t="s">
        <v>78</v>
      </c>
      <c r="E118" s="717"/>
      <c r="F118" s="733"/>
      <c r="G118" s="587">
        <v>12.9</v>
      </c>
      <c r="H118" s="587">
        <v>1761</v>
      </c>
      <c r="I118" s="587">
        <v>11</v>
      </c>
      <c r="J118" s="579">
        <v>2203</v>
      </c>
      <c r="K118" s="153"/>
      <c r="L118" s="154"/>
      <c r="M118" s="60"/>
      <c r="N118" s="106"/>
      <c r="O118" s="107"/>
      <c r="P118" s="105"/>
      <c r="R118" s="158"/>
    </row>
    <row r="119" spans="1:18" s="92" customFormat="1" ht="49.5" customHeight="1" thickBot="1">
      <c r="A119" s="670"/>
      <c r="B119" s="529"/>
      <c r="C119" s="90" t="s">
        <v>131</v>
      </c>
      <c r="D119" s="172" t="s">
        <v>78</v>
      </c>
      <c r="E119" s="718"/>
      <c r="F119" s="692"/>
      <c r="G119" s="587">
        <v>12.9</v>
      </c>
      <c r="H119" s="587">
        <v>1761</v>
      </c>
      <c r="I119" s="587">
        <v>11</v>
      </c>
      <c r="J119" s="579">
        <v>2203</v>
      </c>
      <c r="K119" s="153"/>
      <c r="L119" s="154"/>
      <c r="M119" s="60"/>
      <c r="N119" s="106"/>
      <c r="O119" s="107"/>
      <c r="P119" s="105"/>
      <c r="R119" s="158"/>
    </row>
    <row r="120" spans="1:18" s="92" customFormat="1" ht="18" customHeight="1" thickBot="1">
      <c r="A120" s="624" t="s">
        <v>151</v>
      </c>
      <c r="B120" s="625"/>
      <c r="C120" s="625"/>
      <c r="D120" s="625"/>
      <c r="E120" s="625"/>
      <c r="F120" s="704"/>
      <c r="G120" s="704"/>
      <c r="H120" s="704"/>
      <c r="I120" s="704"/>
      <c r="J120" s="704"/>
      <c r="K120" s="153"/>
      <c r="L120" s="154"/>
      <c r="M120" s="60"/>
      <c r="N120" s="106"/>
      <c r="O120" s="107"/>
      <c r="P120" s="105"/>
      <c r="R120" s="158"/>
    </row>
    <row r="121" spans="1:18" s="92" customFormat="1" ht="49.9" customHeight="1" thickBot="1">
      <c r="A121" s="613">
        <v>15</v>
      </c>
      <c r="B121" s="476"/>
      <c r="C121" s="523" t="s">
        <v>86</v>
      </c>
      <c r="D121" s="119"/>
      <c r="E121" s="515" t="s">
        <v>40</v>
      </c>
      <c r="F121" s="416">
        <v>60</v>
      </c>
      <c r="G121" s="517">
        <v>12.24</v>
      </c>
      <c r="H121" s="517">
        <v>1650</v>
      </c>
      <c r="I121" s="517">
        <v>12</v>
      </c>
      <c r="J121" s="579">
        <v>2203</v>
      </c>
      <c r="K121" s="153"/>
      <c r="L121" s="154"/>
      <c r="M121" s="60"/>
      <c r="N121" s="106"/>
      <c r="O121" s="107"/>
      <c r="P121" s="105"/>
      <c r="R121" s="158"/>
    </row>
    <row r="122" spans="1:18" s="92" customFormat="1" ht="49.9" customHeight="1" thickBot="1">
      <c r="A122" s="614"/>
      <c r="B122" s="527"/>
      <c r="C122" s="525" t="s">
        <v>93</v>
      </c>
      <c r="D122" s="119"/>
      <c r="E122" s="520" t="s">
        <v>40</v>
      </c>
      <c r="F122" s="514">
        <v>60</v>
      </c>
      <c r="G122" s="518">
        <v>12.24</v>
      </c>
      <c r="H122" s="518">
        <v>1650</v>
      </c>
      <c r="I122" s="518">
        <v>12</v>
      </c>
      <c r="J122" s="579">
        <v>2203</v>
      </c>
      <c r="K122" s="153"/>
      <c r="L122" s="154"/>
      <c r="M122" s="60"/>
      <c r="N122" s="106"/>
      <c r="O122" s="107"/>
      <c r="P122" s="105"/>
      <c r="R122" s="158"/>
    </row>
    <row r="123" spans="1:18" s="92" customFormat="1" ht="49.9" customHeight="1" thickBot="1">
      <c r="A123" s="614"/>
      <c r="B123" s="527"/>
      <c r="C123" s="525" t="s">
        <v>85</v>
      </c>
      <c r="D123" s="119"/>
      <c r="E123" s="520" t="s">
        <v>40</v>
      </c>
      <c r="F123" s="514">
        <v>60</v>
      </c>
      <c r="G123" s="518">
        <v>12.24</v>
      </c>
      <c r="H123" s="518">
        <v>1650</v>
      </c>
      <c r="I123" s="518">
        <v>12</v>
      </c>
      <c r="J123" s="579">
        <v>2203</v>
      </c>
      <c r="K123" s="153"/>
      <c r="L123" s="154"/>
      <c r="M123" s="60"/>
      <c r="N123" s="106"/>
      <c r="O123" s="107"/>
      <c r="P123" s="105"/>
      <c r="R123" s="158"/>
    </row>
    <row r="124" spans="1:18" s="92" customFormat="1" ht="49.9" customHeight="1" thickBot="1">
      <c r="A124" s="615"/>
      <c r="B124" s="528"/>
      <c r="C124" s="524" t="s">
        <v>68</v>
      </c>
      <c r="D124" s="119" t="s">
        <v>78</v>
      </c>
      <c r="E124" s="516" t="s">
        <v>40</v>
      </c>
      <c r="F124" s="417">
        <v>60</v>
      </c>
      <c r="G124" s="519">
        <v>12.24</v>
      </c>
      <c r="H124" s="519">
        <v>1650</v>
      </c>
      <c r="I124" s="519">
        <v>12</v>
      </c>
      <c r="J124" s="579">
        <v>2203</v>
      </c>
      <c r="K124" s="153"/>
      <c r="L124" s="154"/>
      <c r="M124" s="60"/>
      <c r="N124" s="106"/>
      <c r="O124" s="107"/>
      <c r="P124" s="105"/>
      <c r="R124" s="158"/>
    </row>
    <row r="125" spans="1:18" ht="15.75" customHeight="1" thickBot="1">
      <c r="A125" s="603" t="s">
        <v>34</v>
      </c>
      <c r="B125" s="604"/>
      <c r="C125" s="604"/>
      <c r="D125" s="604"/>
      <c r="E125" s="604"/>
      <c r="F125" s="604"/>
      <c r="G125" s="604"/>
      <c r="H125" s="604"/>
      <c r="I125" s="604"/>
      <c r="J125" s="671"/>
      <c r="K125" s="84"/>
      <c r="L125" s="83">
        <v>0</v>
      </c>
      <c r="M125" s="64"/>
      <c r="N125" s="13" t="e">
        <v>#DIV/0!</v>
      </c>
      <c r="O125" s="14" t="e">
        <v>#DIV/0!</v>
      </c>
      <c r="P125" s="11" t="e">
        <v>#DIV/0!</v>
      </c>
      <c r="Q125" s="319"/>
      <c r="R125" s="87"/>
    </row>
    <row r="126" spans="1:18" ht="19.5" customHeight="1" thickBot="1">
      <c r="A126" s="614">
        <v>16</v>
      </c>
      <c r="B126" s="680"/>
      <c r="C126" s="681" t="s">
        <v>6</v>
      </c>
      <c r="D126" s="232" t="s">
        <v>78</v>
      </c>
      <c r="E126" s="676" t="s">
        <v>42</v>
      </c>
      <c r="F126" s="134">
        <v>40</v>
      </c>
      <c r="G126" s="134">
        <v>19.440000000000001</v>
      </c>
      <c r="H126" s="134">
        <v>1781</v>
      </c>
      <c r="I126" s="134">
        <v>11</v>
      </c>
      <c r="J126" s="215">
        <v>1047</v>
      </c>
      <c r="K126" s="84"/>
      <c r="L126" s="83">
        <v>361.02</v>
      </c>
      <c r="M126" s="19">
        <v>406</v>
      </c>
      <c r="N126" s="13">
        <v>0.1</v>
      </c>
      <c r="O126" s="14">
        <v>0.03</v>
      </c>
      <c r="P126" s="11">
        <v>0.02</v>
      </c>
      <c r="R126" s="87">
        <f>434*1.1</f>
        <v>477.40000000000003</v>
      </c>
    </row>
    <row r="127" spans="1:18" ht="19.5" customHeight="1" thickBot="1">
      <c r="A127" s="614"/>
      <c r="B127" s="680"/>
      <c r="C127" s="681"/>
      <c r="D127" s="312" t="s">
        <v>78</v>
      </c>
      <c r="E127" s="759"/>
      <c r="F127" s="134">
        <v>60</v>
      </c>
      <c r="G127" s="134">
        <v>12.96</v>
      </c>
      <c r="H127" s="134">
        <v>1785</v>
      </c>
      <c r="I127" s="134">
        <v>11</v>
      </c>
      <c r="J127" s="3">
        <v>1198</v>
      </c>
      <c r="K127" s="84"/>
      <c r="L127" s="83">
        <v>433.9</v>
      </c>
      <c r="M127" s="19">
        <v>488</v>
      </c>
      <c r="N127" s="13">
        <v>0.1</v>
      </c>
      <c r="O127" s="14">
        <v>0.03</v>
      </c>
      <c r="P127" s="11">
        <v>0.02</v>
      </c>
      <c r="R127" s="87">
        <f>521*1.1</f>
        <v>573.1</v>
      </c>
    </row>
    <row r="128" spans="1:18" ht="20.25" customHeight="1" thickBot="1">
      <c r="A128" s="614"/>
      <c r="B128" s="680"/>
      <c r="C128" s="681"/>
      <c r="D128" s="402"/>
      <c r="E128" s="677"/>
      <c r="F128" s="134">
        <v>80</v>
      </c>
      <c r="G128" s="134">
        <v>10.8</v>
      </c>
      <c r="H128" s="134">
        <v>1982</v>
      </c>
      <c r="I128" s="134">
        <v>10</v>
      </c>
      <c r="J128" s="4">
        <v>1449</v>
      </c>
      <c r="K128" s="84"/>
      <c r="L128" s="83">
        <v>523.73</v>
      </c>
      <c r="M128" s="55">
        <v>589</v>
      </c>
      <c r="N128" s="13">
        <v>0.1</v>
      </c>
      <c r="O128" s="14">
        <v>0.03</v>
      </c>
      <c r="P128" s="11">
        <v>0.02</v>
      </c>
      <c r="R128" s="87">
        <f>629*1.1</f>
        <v>691.90000000000009</v>
      </c>
    </row>
    <row r="129" spans="1:18" s="92" customFormat="1" ht="30.75" customHeight="1" thickBot="1">
      <c r="A129" s="614"/>
      <c r="B129" s="234"/>
      <c r="C129" s="682"/>
      <c r="D129" s="251"/>
      <c r="E129" s="209" t="s">
        <v>20</v>
      </c>
      <c r="F129" s="134">
        <v>70</v>
      </c>
      <c r="G129" s="376">
        <v>12.67</v>
      </c>
      <c r="H129" s="376">
        <v>2046</v>
      </c>
      <c r="I129" s="376">
        <v>9</v>
      </c>
      <c r="J129" s="4">
        <v>1311</v>
      </c>
      <c r="K129" s="153"/>
      <c r="L129" s="154"/>
      <c r="M129" s="55"/>
      <c r="N129" s="106"/>
      <c r="O129" s="107"/>
      <c r="P129" s="105">
        <v>0.02</v>
      </c>
      <c r="R129" s="158"/>
    </row>
    <row r="130" spans="1:18" ht="30" customHeight="1" thickBot="1">
      <c r="A130" s="614"/>
      <c r="B130" s="760"/>
      <c r="C130" s="659" t="s">
        <v>38</v>
      </c>
      <c r="D130" s="232" t="s">
        <v>78</v>
      </c>
      <c r="E130" s="676" t="s">
        <v>42</v>
      </c>
      <c r="F130" s="134">
        <v>40</v>
      </c>
      <c r="G130" s="134">
        <v>19.440000000000001</v>
      </c>
      <c r="H130" s="134">
        <v>1781</v>
      </c>
      <c r="I130" s="134">
        <v>11</v>
      </c>
      <c r="J130" s="215">
        <v>1172</v>
      </c>
      <c r="K130" s="84"/>
      <c r="L130" s="83">
        <v>407.63</v>
      </c>
      <c r="M130" s="19">
        <v>458</v>
      </c>
      <c r="N130" s="13">
        <v>0.15</v>
      </c>
      <c r="O130" s="14">
        <v>0.05</v>
      </c>
      <c r="P130" s="11">
        <v>0.03</v>
      </c>
      <c r="R130" s="87">
        <f>490*1.1</f>
        <v>539</v>
      </c>
    </row>
    <row r="131" spans="1:18" ht="30" customHeight="1" thickBot="1">
      <c r="A131" s="614"/>
      <c r="B131" s="761"/>
      <c r="C131" s="660"/>
      <c r="D131" s="312" t="s">
        <v>78</v>
      </c>
      <c r="E131" s="677"/>
      <c r="F131" s="134">
        <v>60</v>
      </c>
      <c r="G131" s="134">
        <v>12.96</v>
      </c>
      <c r="H131" s="134">
        <v>1785</v>
      </c>
      <c r="I131" s="134">
        <v>11</v>
      </c>
      <c r="J131" s="4">
        <v>1368</v>
      </c>
      <c r="K131" s="84"/>
      <c r="L131" s="83">
        <v>501.69</v>
      </c>
      <c r="M131" s="19">
        <v>564</v>
      </c>
      <c r="N131" s="13">
        <v>0.15</v>
      </c>
      <c r="O131" s="14">
        <v>0.05</v>
      </c>
      <c r="P131" s="11">
        <v>0.03</v>
      </c>
      <c r="R131" s="87">
        <f>602*1.1</f>
        <v>662.2</v>
      </c>
    </row>
    <row r="132" spans="1:18" ht="30" customHeight="1" thickBot="1">
      <c r="A132" s="614"/>
      <c r="B132" s="479"/>
      <c r="C132" s="762" t="s">
        <v>12</v>
      </c>
      <c r="D132" s="114" t="s">
        <v>78</v>
      </c>
      <c r="E132" s="676" t="s">
        <v>42</v>
      </c>
      <c r="F132" s="134">
        <v>40</v>
      </c>
      <c r="G132" s="134">
        <v>19.440000000000001</v>
      </c>
      <c r="H132" s="134">
        <v>1781</v>
      </c>
      <c r="I132" s="134">
        <v>11</v>
      </c>
      <c r="J132" s="215">
        <v>1172</v>
      </c>
      <c r="K132" s="84"/>
      <c r="L132" s="83">
        <v>407.63</v>
      </c>
      <c r="M132" s="19">
        <v>458</v>
      </c>
      <c r="N132" s="13">
        <v>0.15</v>
      </c>
      <c r="O132" s="14">
        <v>0.05</v>
      </c>
      <c r="P132" s="11">
        <v>0.03</v>
      </c>
      <c r="R132" s="158">
        <f>490*1.1</f>
        <v>539</v>
      </c>
    </row>
    <row r="133" spans="1:18" ht="30" customHeight="1" thickBot="1">
      <c r="A133" s="614"/>
      <c r="B133" s="480"/>
      <c r="C133" s="763"/>
      <c r="D133" s="172" t="s">
        <v>78</v>
      </c>
      <c r="E133" s="677"/>
      <c r="F133" s="134">
        <v>60</v>
      </c>
      <c r="G133" s="134">
        <v>12.96</v>
      </c>
      <c r="H133" s="134">
        <v>1785</v>
      </c>
      <c r="I133" s="134">
        <v>11</v>
      </c>
      <c r="J133" s="4">
        <v>1368</v>
      </c>
      <c r="K133" s="84"/>
      <c r="L133" s="83">
        <v>501.69</v>
      </c>
      <c r="M133" s="19">
        <v>564</v>
      </c>
      <c r="N133" s="13">
        <v>0.15</v>
      </c>
      <c r="O133" s="14">
        <v>0.05</v>
      </c>
      <c r="P133" s="11">
        <v>0.03</v>
      </c>
      <c r="R133" s="158">
        <f>602*1.1</f>
        <v>662.2</v>
      </c>
    </row>
    <row r="134" spans="1:18" ht="30" customHeight="1" thickBot="1">
      <c r="A134" s="614"/>
      <c r="B134" s="678"/>
      <c r="C134" s="659" t="s">
        <v>13</v>
      </c>
      <c r="D134" s="114"/>
      <c r="E134" s="676" t="s">
        <v>42</v>
      </c>
      <c r="F134" s="134">
        <v>40</v>
      </c>
      <c r="G134" s="134">
        <v>19.440000000000001</v>
      </c>
      <c r="H134" s="134">
        <v>1781</v>
      </c>
      <c r="I134" s="134">
        <v>11</v>
      </c>
      <c r="J134" s="215">
        <v>1172</v>
      </c>
      <c r="K134" s="84"/>
      <c r="L134" s="83">
        <v>407.63</v>
      </c>
      <c r="M134" s="19">
        <v>485</v>
      </c>
      <c r="N134" s="65">
        <v>0.15</v>
      </c>
      <c r="O134" s="14">
        <v>0.05</v>
      </c>
      <c r="P134" s="11">
        <v>3.0000000000000027E-2</v>
      </c>
      <c r="R134" s="158">
        <f>490*1.1</f>
        <v>539</v>
      </c>
    </row>
    <row r="135" spans="1:18" ht="30" customHeight="1" thickBot="1">
      <c r="A135" s="614"/>
      <c r="B135" s="682"/>
      <c r="C135" s="660"/>
      <c r="D135" s="172"/>
      <c r="E135" s="677"/>
      <c r="F135" s="134">
        <v>60</v>
      </c>
      <c r="G135" s="134">
        <v>12.96</v>
      </c>
      <c r="H135" s="134">
        <v>1785</v>
      </c>
      <c r="I135" s="134">
        <v>11</v>
      </c>
      <c r="J135" s="4">
        <v>1368</v>
      </c>
      <c r="K135" s="84"/>
      <c r="L135" s="83">
        <v>501.69</v>
      </c>
      <c r="M135" s="19">
        <v>564</v>
      </c>
      <c r="N135" s="13">
        <v>0.15</v>
      </c>
      <c r="O135" s="14">
        <v>0.05</v>
      </c>
      <c r="P135" s="11">
        <v>0.03</v>
      </c>
      <c r="R135" s="158">
        <f>602*1.1</f>
        <v>662.2</v>
      </c>
    </row>
    <row r="136" spans="1:18" ht="30" customHeight="1" thickBot="1">
      <c r="A136" s="614"/>
      <c r="B136" s="678"/>
      <c r="C136" s="722" t="s">
        <v>44</v>
      </c>
      <c r="D136" s="232" t="s">
        <v>78</v>
      </c>
      <c r="E136" s="676" t="s">
        <v>42</v>
      </c>
      <c r="F136" s="134">
        <v>40</v>
      </c>
      <c r="G136" s="134">
        <v>19.440000000000001</v>
      </c>
      <c r="H136" s="134">
        <v>1781</v>
      </c>
      <c r="I136" s="134">
        <v>11</v>
      </c>
      <c r="J136" s="215">
        <v>1172</v>
      </c>
      <c r="K136" s="84"/>
      <c r="L136" s="83">
        <v>407.63</v>
      </c>
      <c r="M136" s="19">
        <v>485</v>
      </c>
      <c r="N136" s="65">
        <v>0.15</v>
      </c>
      <c r="O136" s="14">
        <v>0.05</v>
      </c>
      <c r="P136" s="11">
        <v>3.0000000000000027E-2</v>
      </c>
      <c r="R136" s="158">
        <f>490*1.1</f>
        <v>539</v>
      </c>
    </row>
    <row r="137" spans="1:18" ht="30" customHeight="1" thickBot="1">
      <c r="A137" s="614"/>
      <c r="B137" s="682"/>
      <c r="C137" s="723"/>
      <c r="D137" s="312" t="s">
        <v>78</v>
      </c>
      <c r="E137" s="677"/>
      <c r="F137" s="134">
        <v>60</v>
      </c>
      <c r="G137" s="134">
        <v>12.96</v>
      </c>
      <c r="H137" s="134">
        <v>1785</v>
      </c>
      <c r="I137" s="134">
        <v>11</v>
      </c>
      <c r="J137" s="4">
        <v>1368</v>
      </c>
      <c r="K137" s="84"/>
      <c r="L137" s="83">
        <v>501.69</v>
      </c>
      <c r="M137" s="19">
        <v>564</v>
      </c>
      <c r="N137" s="13">
        <v>0.15</v>
      </c>
      <c r="O137" s="14">
        <v>0.05</v>
      </c>
      <c r="P137" s="11">
        <v>0.03</v>
      </c>
      <c r="R137" s="158">
        <f>602*1.1</f>
        <v>662.2</v>
      </c>
    </row>
    <row r="138" spans="1:18" ht="34.5" customHeight="1" thickBot="1">
      <c r="A138" s="614"/>
      <c r="B138" s="512"/>
      <c r="C138" s="509" t="s">
        <v>101</v>
      </c>
      <c r="D138" s="114" t="s">
        <v>78</v>
      </c>
      <c r="E138" s="508" t="s">
        <v>42</v>
      </c>
      <c r="F138" s="586">
        <v>40</v>
      </c>
      <c r="G138" s="134">
        <v>19.440000000000001</v>
      </c>
      <c r="H138" s="134">
        <v>1781</v>
      </c>
      <c r="I138" s="134">
        <v>11</v>
      </c>
      <c r="J138" s="215">
        <v>1797</v>
      </c>
      <c r="K138" s="84"/>
      <c r="L138" s="83">
        <v>606.78</v>
      </c>
      <c r="M138" s="19">
        <v>695</v>
      </c>
      <c r="N138" s="13">
        <v>0.3</v>
      </c>
      <c r="O138" s="14">
        <v>0.1</v>
      </c>
      <c r="P138" s="11">
        <v>0.04</v>
      </c>
      <c r="R138" s="87">
        <f>729*1.1</f>
        <v>801.90000000000009</v>
      </c>
    </row>
    <row r="139" spans="1:18" ht="33.75" customHeight="1" thickBot="1">
      <c r="A139" s="614"/>
      <c r="B139" s="513"/>
      <c r="C139" s="510" t="s">
        <v>86</v>
      </c>
      <c r="D139" s="114" t="s">
        <v>78</v>
      </c>
      <c r="E139" s="511" t="s">
        <v>42</v>
      </c>
      <c r="F139" s="586">
        <v>60</v>
      </c>
      <c r="G139" s="134">
        <v>12.96</v>
      </c>
      <c r="H139" s="134">
        <v>1785</v>
      </c>
      <c r="I139" s="134">
        <v>11</v>
      </c>
      <c r="J139" s="4">
        <v>2203</v>
      </c>
      <c r="K139" s="84"/>
      <c r="L139" s="83">
        <v>782.2</v>
      </c>
      <c r="M139" s="19">
        <v>896</v>
      </c>
      <c r="N139" s="13">
        <v>0.3</v>
      </c>
      <c r="O139" s="14">
        <v>0.1</v>
      </c>
      <c r="P139" s="11">
        <v>0.04</v>
      </c>
      <c r="R139" s="87">
        <f>939*1.1</f>
        <v>1032.9000000000001</v>
      </c>
    </row>
    <row r="140" spans="1:18" s="92" customFormat="1" ht="33.75" customHeight="1" thickBot="1">
      <c r="A140" s="614"/>
      <c r="B140" s="580"/>
      <c r="C140" s="571" t="s">
        <v>109</v>
      </c>
      <c r="D140" s="114" t="s">
        <v>78</v>
      </c>
      <c r="E140" s="569" t="s">
        <v>42</v>
      </c>
      <c r="F140" s="416">
        <v>40</v>
      </c>
      <c r="G140" s="569">
        <v>19.440000000000001</v>
      </c>
      <c r="H140" s="569">
        <v>1781</v>
      </c>
      <c r="I140" s="569">
        <v>11</v>
      </c>
      <c r="J140" s="215">
        <v>1797</v>
      </c>
      <c r="K140" s="153"/>
      <c r="L140" s="154"/>
      <c r="M140" s="19"/>
      <c r="N140" s="106">
        <v>0.3</v>
      </c>
      <c r="O140" s="107">
        <v>0.1</v>
      </c>
      <c r="P140" s="105"/>
      <c r="R140" s="158"/>
    </row>
    <row r="141" spans="1:18" s="92" customFormat="1" ht="33.75" customHeight="1" thickBot="1">
      <c r="A141" s="614"/>
      <c r="B141" s="580"/>
      <c r="C141" s="571" t="s">
        <v>109</v>
      </c>
      <c r="D141" s="114" t="s">
        <v>78</v>
      </c>
      <c r="E141" s="570" t="s">
        <v>42</v>
      </c>
      <c r="F141" s="514">
        <v>60</v>
      </c>
      <c r="G141" s="570">
        <v>12.96</v>
      </c>
      <c r="H141" s="570">
        <v>1785</v>
      </c>
      <c r="I141" s="570">
        <v>11</v>
      </c>
      <c r="J141" s="4">
        <v>2203</v>
      </c>
      <c r="K141" s="153"/>
      <c r="L141" s="154"/>
      <c r="M141" s="19"/>
      <c r="N141" s="106">
        <v>0.3</v>
      </c>
      <c r="O141" s="107">
        <v>0.1</v>
      </c>
      <c r="P141" s="105"/>
      <c r="R141" s="158"/>
    </row>
    <row r="142" spans="1:18" ht="34.5" customHeight="1" thickBot="1">
      <c r="A142" s="614"/>
      <c r="B142" s="512"/>
      <c r="C142" s="509" t="s">
        <v>92</v>
      </c>
      <c r="D142" s="114" t="s">
        <v>78</v>
      </c>
      <c r="E142" s="508" t="s">
        <v>42</v>
      </c>
      <c r="F142" s="416">
        <v>40</v>
      </c>
      <c r="G142" s="508">
        <v>19.440000000000001</v>
      </c>
      <c r="H142" s="508">
        <v>1781</v>
      </c>
      <c r="I142" s="508">
        <v>11</v>
      </c>
      <c r="J142" s="215">
        <v>1797</v>
      </c>
      <c r="K142" s="84"/>
      <c r="L142" s="83">
        <v>606.78</v>
      </c>
      <c r="M142" s="19">
        <v>695</v>
      </c>
      <c r="N142" s="106">
        <v>0.3</v>
      </c>
      <c r="O142" s="107">
        <v>0.1</v>
      </c>
      <c r="P142" s="105">
        <v>0.04</v>
      </c>
      <c r="Q142" s="92"/>
      <c r="R142" s="158">
        <f>729*1.1</f>
        <v>801.90000000000009</v>
      </c>
    </row>
    <row r="143" spans="1:18" s="92" customFormat="1" ht="34.5" customHeight="1" thickBot="1">
      <c r="A143" s="614"/>
      <c r="B143" s="513"/>
      <c r="C143" s="573" t="s">
        <v>93</v>
      </c>
      <c r="D143" s="583" t="s">
        <v>78</v>
      </c>
      <c r="E143" s="584" t="s">
        <v>42</v>
      </c>
      <c r="F143" s="585">
        <v>60</v>
      </c>
      <c r="G143" s="584">
        <v>12.96</v>
      </c>
      <c r="H143" s="584">
        <v>1785</v>
      </c>
      <c r="I143" s="584">
        <v>11</v>
      </c>
      <c r="J143" s="4">
        <v>2203</v>
      </c>
      <c r="K143" s="153"/>
      <c r="L143" s="154"/>
      <c r="M143" s="313"/>
      <c r="N143" s="106">
        <v>0.3</v>
      </c>
      <c r="O143" s="107">
        <v>0.1</v>
      </c>
      <c r="P143" s="105">
        <v>0.04</v>
      </c>
      <c r="R143" s="158">
        <f>939*1.1</f>
        <v>1032.9000000000001</v>
      </c>
    </row>
    <row r="144" spans="1:18" s="92" customFormat="1" ht="34.5" customHeight="1" thickBot="1">
      <c r="A144" s="574"/>
      <c r="B144" s="581"/>
      <c r="C144" s="366" t="s">
        <v>85</v>
      </c>
      <c r="D144" s="47" t="s">
        <v>78</v>
      </c>
      <c r="E144" s="134" t="s">
        <v>42</v>
      </c>
      <c r="F144" s="586">
        <v>60</v>
      </c>
      <c r="G144" s="134">
        <v>12.96</v>
      </c>
      <c r="H144" s="134">
        <v>1785</v>
      </c>
      <c r="I144" s="134">
        <v>11</v>
      </c>
      <c r="J144" s="103">
        <v>2203</v>
      </c>
      <c r="K144" s="153"/>
      <c r="L144" s="154"/>
      <c r="M144" s="582"/>
      <c r="N144" s="106">
        <v>0.3</v>
      </c>
      <c r="O144" s="107"/>
      <c r="P144" s="105"/>
      <c r="R144" s="158"/>
    </row>
    <row r="145" spans="1:18" ht="15.95" customHeight="1" thickBot="1">
      <c r="A145" s="603" t="s">
        <v>43</v>
      </c>
      <c r="B145" s="604"/>
      <c r="C145" s="604"/>
      <c r="D145" s="604"/>
      <c r="E145" s="604"/>
      <c r="F145" s="604"/>
      <c r="G145" s="604"/>
      <c r="H145" s="604"/>
      <c r="I145" s="604"/>
      <c r="J145" s="604"/>
      <c r="K145" s="84"/>
      <c r="L145" s="83">
        <v>0</v>
      </c>
      <c r="M145" s="66"/>
      <c r="N145" s="13" t="e">
        <v>#DIV/0!</v>
      </c>
      <c r="O145" s="14" t="e">
        <v>#DIV/0!</v>
      </c>
      <c r="P145" s="11" t="e">
        <v>#DIV/0!</v>
      </c>
      <c r="R145" s="87"/>
    </row>
    <row r="146" spans="1:18" ht="30" customHeight="1" thickBot="1">
      <c r="A146" s="608">
        <v>17</v>
      </c>
      <c r="B146" s="705"/>
      <c r="C146" s="683" t="s">
        <v>6</v>
      </c>
      <c r="D146" s="114"/>
      <c r="E146" s="108" t="s">
        <v>39</v>
      </c>
      <c r="F146" s="701">
        <v>60</v>
      </c>
      <c r="G146" s="195">
        <v>11.88</v>
      </c>
      <c r="H146" s="189">
        <v>1590</v>
      </c>
      <c r="I146" s="192">
        <v>12</v>
      </c>
      <c r="J146" s="215">
        <v>1198</v>
      </c>
      <c r="K146" s="84"/>
      <c r="L146" s="83">
        <v>433.9</v>
      </c>
      <c r="M146" s="67">
        <v>488</v>
      </c>
      <c r="N146" s="13">
        <v>0.1</v>
      </c>
      <c r="O146" s="14">
        <v>0.03</v>
      </c>
      <c r="P146" s="11">
        <v>0.02</v>
      </c>
      <c r="R146" s="87">
        <f>521*1.1</f>
        <v>573.1</v>
      </c>
    </row>
    <row r="147" spans="1:18" ht="30" customHeight="1" thickBot="1">
      <c r="A147" s="689"/>
      <c r="B147" s="706"/>
      <c r="C147" s="765"/>
      <c r="D147" s="117"/>
      <c r="E147" s="141" t="s">
        <v>37</v>
      </c>
      <c r="F147" s="702"/>
      <c r="G147" s="186">
        <v>14.4</v>
      </c>
      <c r="H147" s="190">
        <v>1988</v>
      </c>
      <c r="I147" s="193">
        <v>10</v>
      </c>
      <c r="J147" s="215">
        <v>1198</v>
      </c>
      <c r="K147" s="84"/>
      <c r="L147" s="83">
        <v>433.9</v>
      </c>
      <c r="M147" s="56">
        <v>488</v>
      </c>
      <c r="N147" s="13">
        <v>0.1</v>
      </c>
      <c r="O147" s="14">
        <v>0.03</v>
      </c>
      <c r="P147" s="11">
        <v>0.02</v>
      </c>
      <c r="R147" s="87"/>
    </row>
    <row r="148" spans="1:18" ht="30" customHeight="1" thickBot="1">
      <c r="A148" s="614"/>
      <c r="B148" s="670"/>
      <c r="C148" s="684"/>
      <c r="D148" s="312"/>
      <c r="E148" s="328" t="s">
        <v>59</v>
      </c>
      <c r="F148" s="702"/>
      <c r="G148" s="382">
        <v>11.52</v>
      </c>
      <c r="H148" s="180">
        <v>1641</v>
      </c>
      <c r="I148" s="329">
        <v>12</v>
      </c>
      <c r="J148" s="215">
        <v>1198</v>
      </c>
      <c r="K148" s="84"/>
      <c r="L148" s="83">
        <v>433.9</v>
      </c>
      <c r="M148" s="57">
        <v>488</v>
      </c>
      <c r="N148" s="13">
        <v>0.1</v>
      </c>
      <c r="O148" s="14">
        <v>0.03</v>
      </c>
      <c r="P148" s="11">
        <v>0.02</v>
      </c>
      <c r="R148" s="87"/>
    </row>
    <row r="149" spans="1:18" ht="28.5" customHeight="1" thickBot="1">
      <c r="A149" s="689"/>
      <c r="B149" s="770"/>
      <c r="C149" s="772" t="s">
        <v>38</v>
      </c>
      <c r="D149" s="119"/>
      <c r="E149" s="206" t="s">
        <v>39</v>
      </c>
      <c r="F149" s="702"/>
      <c r="G149" s="195">
        <v>11.88</v>
      </c>
      <c r="H149" s="189">
        <v>1590</v>
      </c>
      <c r="I149" s="192">
        <v>12</v>
      </c>
      <c r="J149" s="215">
        <v>1368</v>
      </c>
      <c r="K149" s="84"/>
      <c r="L149" s="83">
        <v>501.69</v>
      </c>
      <c r="M149" s="58">
        <v>564</v>
      </c>
      <c r="N149" s="13">
        <v>0.15</v>
      </c>
      <c r="O149" s="14">
        <v>0.05</v>
      </c>
      <c r="P149" s="11">
        <v>0.03</v>
      </c>
      <c r="R149" s="87">
        <f>602*1.1</f>
        <v>662.2</v>
      </c>
    </row>
    <row r="150" spans="1:18" ht="28.5" customHeight="1" thickBot="1">
      <c r="A150" s="689"/>
      <c r="B150" s="771"/>
      <c r="C150" s="773"/>
      <c r="D150" s="124"/>
      <c r="E150" s="109" t="s">
        <v>37</v>
      </c>
      <c r="F150" s="702"/>
      <c r="G150" s="196">
        <v>14.4</v>
      </c>
      <c r="H150" s="191">
        <v>1988</v>
      </c>
      <c r="I150" s="194">
        <v>10</v>
      </c>
      <c r="J150" s="215">
        <v>1368</v>
      </c>
      <c r="K150" s="84"/>
      <c r="L150" s="83">
        <v>501.69</v>
      </c>
      <c r="M150" s="58">
        <v>564</v>
      </c>
      <c r="N150" s="13">
        <v>0.15</v>
      </c>
      <c r="O150" s="14">
        <v>0.05</v>
      </c>
      <c r="P150" s="11">
        <v>0.03</v>
      </c>
      <c r="R150" s="87"/>
    </row>
    <row r="151" spans="1:18" ht="28.5" customHeight="1" thickBot="1">
      <c r="A151" s="689"/>
      <c r="B151" s="707"/>
      <c r="C151" s="683" t="s">
        <v>44</v>
      </c>
      <c r="D151" s="114"/>
      <c r="E151" s="206" t="s">
        <v>39</v>
      </c>
      <c r="F151" s="702"/>
      <c r="G151" s="195">
        <v>11.88</v>
      </c>
      <c r="H151" s="189">
        <v>1590</v>
      </c>
      <c r="I151" s="192">
        <v>12</v>
      </c>
      <c r="J151" s="215">
        <v>1368</v>
      </c>
      <c r="K151" s="84"/>
      <c r="L151" s="83">
        <v>501.69</v>
      </c>
      <c r="M151" s="58">
        <v>564</v>
      </c>
      <c r="N151" s="13">
        <v>0.15</v>
      </c>
      <c r="O151" s="14">
        <v>0.05</v>
      </c>
      <c r="P151" s="11">
        <v>0.03</v>
      </c>
      <c r="R151" s="87"/>
    </row>
    <row r="152" spans="1:18" ht="28.5" customHeight="1" thickBot="1">
      <c r="A152" s="689"/>
      <c r="B152" s="708"/>
      <c r="C152" s="684"/>
      <c r="D152" s="124"/>
      <c r="E152" s="109" t="s">
        <v>37</v>
      </c>
      <c r="F152" s="702"/>
      <c r="G152" s="196">
        <v>14.4</v>
      </c>
      <c r="H152" s="191">
        <v>1988</v>
      </c>
      <c r="I152" s="194">
        <v>10</v>
      </c>
      <c r="J152" s="215">
        <v>1368</v>
      </c>
      <c r="K152" s="84"/>
      <c r="L152" s="83">
        <v>501.69</v>
      </c>
      <c r="M152" s="58">
        <v>564</v>
      </c>
      <c r="N152" s="13">
        <v>0.15</v>
      </c>
      <c r="O152" s="14">
        <v>0.05</v>
      </c>
      <c r="P152" s="11">
        <v>0.03</v>
      </c>
      <c r="R152" s="87"/>
    </row>
    <row r="153" spans="1:18" ht="27.95" customHeight="1" thickBot="1">
      <c r="A153" s="614"/>
      <c r="B153" s="348"/>
      <c r="C153" s="683" t="s">
        <v>14</v>
      </c>
      <c r="D153" s="114"/>
      <c r="E153" s="206" t="s">
        <v>39</v>
      </c>
      <c r="F153" s="702"/>
      <c r="G153" s="195">
        <v>11.88</v>
      </c>
      <c r="H153" s="189">
        <v>1590</v>
      </c>
      <c r="I153" s="192">
        <v>12</v>
      </c>
      <c r="J153" s="215">
        <v>1368</v>
      </c>
      <c r="K153" s="84"/>
      <c r="L153" s="83">
        <v>501.69</v>
      </c>
      <c r="M153" s="57">
        <v>564</v>
      </c>
      <c r="N153" s="13">
        <v>0.15</v>
      </c>
      <c r="O153" s="14">
        <v>0.05</v>
      </c>
      <c r="P153" s="11">
        <v>0.03</v>
      </c>
      <c r="R153" s="87"/>
    </row>
    <row r="154" spans="1:18" ht="27.95" customHeight="1" thickBot="1">
      <c r="A154" s="689"/>
      <c r="B154" s="198"/>
      <c r="C154" s="684"/>
      <c r="D154" s="172"/>
      <c r="E154" s="109" t="s">
        <v>37</v>
      </c>
      <c r="F154" s="702"/>
      <c r="G154" s="196">
        <v>14.4</v>
      </c>
      <c r="H154" s="191">
        <v>1988</v>
      </c>
      <c r="I154" s="194">
        <v>10</v>
      </c>
      <c r="J154" s="215">
        <v>1368</v>
      </c>
      <c r="K154" s="84"/>
      <c r="L154" s="83">
        <v>501.69</v>
      </c>
      <c r="M154" s="57">
        <v>564</v>
      </c>
      <c r="N154" s="13">
        <v>0.15</v>
      </c>
      <c r="O154" s="14">
        <v>0.05</v>
      </c>
      <c r="P154" s="11">
        <v>0.03</v>
      </c>
      <c r="R154" s="87"/>
    </row>
    <row r="155" spans="1:18" ht="43.5" customHeight="1" thickBot="1">
      <c r="A155" s="614"/>
      <c r="B155" s="349"/>
      <c r="C155" s="398" t="s">
        <v>142</v>
      </c>
      <c r="D155" s="47"/>
      <c r="E155" s="98" t="s">
        <v>37</v>
      </c>
      <c r="F155" s="702"/>
      <c r="G155" s="148">
        <v>14.4</v>
      </c>
      <c r="H155" s="129">
        <v>1988</v>
      </c>
      <c r="I155" s="130">
        <v>10</v>
      </c>
      <c r="J155" s="103">
        <v>2627</v>
      </c>
      <c r="K155" s="84"/>
      <c r="L155" s="83">
        <v>890.68</v>
      </c>
      <c r="M155" s="57">
        <v>1001</v>
      </c>
      <c r="N155" s="13">
        <v>0.25</v>
      </c>
      <c r="O155" s="14">
        <v>0.1</v>
      </c>
      <c r="P155" s="11">
        <v>3.9960039960039939E-2</v>
      </c>
      <c r="R155" s="87">
        <f>1069*1.1</f>
        <v>1175.9000000000001</v>
      </c>
    </row>
    <row r="156" spans="1:18" ht="44.25" customHeight="1" thickBot="1">
      <c r="A156" s="614"/>
      <c r="B156" s="350"/>
      <c r="C156" s="366" t="s">
        <v>143</v>
      </c>
      <c r="D156" s="47"/>
      <c r="E156" s="98" t="s">
        <v>37</v>
      </c>
      <c r="F156" s="702"/>
      <c r="G156" s="148">
        <v>14.4</v>
      </c>
      <c r="H156" s="129">
        <v>1988</v>
      </c>
      <c r="I156" s="130">
        <v>10</v>
      </c>
      <c r="J156" s="103">
        <v>2627</v>
      </c>
      <c r="K156" s="84"/>
      <c r="L156" s="83">
        <v>890.68</v>
      </c>
      <c r="M156" s="57">
        <v>1001</v>
      </c>
      <c r="N156" s="13">
        <v>0.25</v>
      </c>
      <c r="O156" s="14">
        <v>0.1</v>
      </c>
      <c r="P156" s="11">
        <v>3.9960039960039939E-2</v>
      </c>
      <c r="R156" s="87"/>
    </row>
    <row r="157" spans="1:18" ht="49.5" customHeight="1" thickBot="1">
      <c r="A157" s="615"/>
      <c r="B157" s="110"/>
      <c r="C157" s="285" t="s">
        <v>104</v>
      </c>
      <c r="D157" s="47"/>
      <c r="E157" s="98" t="s">
        <v>37</v>
      </c>
      <c r="F157" s="703"/>
      <c r="G157" s="148">
        <v>14.4</v>
      </c>
      <c r="H157" s="129">
        <v>1988</v>
      </c>
      <c r="I157" s="130">
        <v>10</v>
      </c>
      <c r="J157" s="103">
        <v>2627</v>
      </c>
      <c r="K157" s="84"/>
      <c r="L157" s="83">
        <v>890.68</v>
      </c>
      <c r="M157" s="61">
        <v>1001</v>
      </c>
      <c r="N157" s="13">
        <v>0.25</v>
      </c>
      <c r="O157" s="14">
        <v>0.1</v>
      </c>
      <c r="P157" s="11">
        <v>3.9960039960039939E-2</v>
      </c>
      <c r="R157" s="87"/>
    </row>
    <row r="158" spans="1:18" ht="15.75" customHeight="1" thickBot="1">
      <c r="A158" s="649" t="s">
        <v>35</v>
      </c>
      <c r="B158" s="650"/>
      <c r="C158" s="650"/>
      <c r="D158" s="650"/>
      <c r="E158" s="650"/>
      <c r="F158" s="650"/>
      <c r="G158" s="650"/>
      <c r="H158" s="650"/>
      <c r="I158" s="650"/>
      <c r="J158" s="650"/>
      <c r="K158" s="84"/>
      <c r="L158" s="83">
        <v>0</v>
      </c>
      <c r="M158" s="77"/>
      <c r="N158" s="13" t="e">
        <v>#DIV/0!</v>
      </c>
      <c r="O158" s="14" t="e">
        <v>#DIV/0!</v>
      </c>
      <c r="P158" s="11" t="e">
        <v>#DIV/0!</v>
      </c>
      <c r="R158" s="87"/>
    </row>
    <row r="159" spans="1:18" ht="57" customHeight="1" thickBot="1">
      <c r="A159" s="168">
        <v>18</v>
      </c>
      <c r="B159" s="483"/>
      <c r="C159" s="146" t="s">
        <v>6</v>
      </c>
      <c r="D159" s="100" t="s">
        <v>78</v>
      </c>
      <c r="E159" s="177" t="s">
        <v>18</v>
      </c>
      <c r="F159" s="376">
        <v>100</v>
      </c>
      <c r="G159" s="148">
        <v>10.8</v>
      </c>
      <c r="H159" s="129">
        <v>1552</v>
      </c>
      <c r="I159" s="149">
        <v>12</v>
      </c>
      <c r="J159" s="103">
        <v>1512</v>
      </c>
      <c r="K159" s="84"/>
      <c r="L159" s="83">
        <v>501.69</v>
      </c>
      <c r="M159" s="15">
        <v>564</v>
      </c>
      <c r="N159" s="13">
        <v>0.2</v>
      </c>
      <c r="O159" s="14">
        <v>0.03</v>
      </c>
      <c r="P159" s="11">
        <v>0.02</v>
      </c>
      <c r="R159" s="87">
        <f>602*1.1</f>
        <v>662.2</v>
      </c>
    </row>
    <row r="160" spans="1:18" s="92" customFormat="1" ht="20.25" customHeight="1" thickBot="1">
      <c r="A160" s="281"/>
      <c r="B160" s="497"/>
      <c r="C160" s="498"/>
      <c r="D160" s="499"/>
      <c r="E160" s="498"/>
      <c r="F160" s="500"/>
      <c r="G160" s="497"/>
      <c r="H160" s="497"/>
      <c r="I160" s="497"/>
      <c r="J160" s="501"/>
      <c r="K160" s="341"/>
      <c r="L160" s="342"/>
      <c r="M160" s="343"/>
      <c r="N160" s="106"/>
      <c r="O160" s="107"/>
      <c r="P160" s="105"/>
      <c r="R160" s="158"/>
    </row>
    <row r="161" spans="1:18" ht="16.5" thickBot="1">
      <c r="A161" s="597" t="s">
        <v>1</v>
      </c>
      <c r="B161" s="598"/>
      <c r="C161" s="598"/>
      <c r="D161" s="598"/>
      <c r="E161" s="598"/>
      <c r="F161" s="598"/>
      <c r="G161" s="598"/>
      <c r="H161" s="598"/>
      <c r="I161" s="598"/>
      <c r="J161" s="598"/>
      <c r="K161" s="84"/>
      <c r="L161" s="83">
        <v>0</v>
      </c>
      <c r="M161" s="68"/>
      <c r="N161" s="13" t="e">
        <v>#DIV/0!</v>
      </c>
      <c r="O161" s="14" t="e">
        <v>#DIV/0!</v>
      </c>
      <c r="P161" s="11" t="e">
        <v>#DIV/0!</v>
      </c>
      <c r="R161" s="87"/>
    </row>
    <row r="162" spans="1:18" s="92" customFormat="1" ht="62.25" customHeight="1" thickBot="1">
      <c r="A162" s="93" t="s">
        <v>0</v>
      </c>
      <c r="B162" s="594" t="s">
        <v>5</v>
      </c>
      <c r="C162" s="595"/>
      <c r="D162" s="596"/>
      <c r="E162" s="94" t="s">
        <v>7</v>
      </c>
      <c r="F162" s="94" t="s">
        <v>16</v>
      </c>
      <c r="G162" s="94" t="s">
        <v>134</v>
      </c>
      <c r="H162" s="95" t="s">
        <v>8</v>
      </c>
      <c r="I162" s="94" t="s">
        <v>25</v>
      </c>
      <c r="J162" s="94" t="s">
        <v>150</v>
      </c>
      <c r="K162" s="92">
        <v>1.05</v>
      </c>
      <c r="L162" s="94" t="s">
        <v>119</v>
      </c>
      <c r="M162" s="94" t="s">
        <v>120</v>
      </c>
      <c r="N162" s="7" t="s">
        <v>114</v>
      </c>
      <c r="O162" s="7" t="s">
        <v>115</v>
      </c>
      <c r="P162" s="7" t="s">
        <v>116</v>
      </c>
      <c r="R162" s="85"/>
    </row>
    <row r="163" spans="1:18" ht="15.75" customHeight="1" thickBot="1">
      <c r="A163" s="603" t="s">
        <v>30</v>
      </c>
      <c r="B163" s="604"/>
      <c r="C163" s="604"/>
      <c r="D163" s="604"/>
      <c r="E163" s="604"/>
      <c r="F163" s="604"/>
      <c r="G163" s="604"/>
      <c r="H163" s="604"/>
      <c r="I163" s="604"/>
      <c r="J163" s="604"/>
      <c r="K163" s="84"/>
      <c r="L163" s="83">
        <v>0</v>
      </c>
      <c r="M163" s="70"/>
      <c r="N163" s="13" t="e">
        <v>#DIV/0!</v>
      </c>
      <c r="O163" s="14" t="e">
        <v>#DIV/0!</v>
      </c>
      <c r="P163" s="11" t="e">
        <v>#DIV/0!</v>
      </c>
      <c r="R163" s="87"/>
    </row>
    <row r="164" spans="1:18" ht="48" customHeight="1" thickBot="1">
      <c r="A164" s="168">
        <v>1</v>
      </c>
      <c r="B164" s="337"/>
      <c r="C164" s="366" t="s">
        <v>6</v>
      </c>
      <c r="D164" s="100" t="s">
        <v>78</v>
      </c>
      <c r="E164" s="376" t="s">
        <v>45</v>
      </c>
      <c r="F164" s="148">
        <v>300</v>
      </c>
      <c r="G164" s="129">
        <v>18</v>
      </c>
      <c r="H164" s="129">
        <v>1818</v>
      </c>
      <c r="I164" s="130">
        <v>11</v>
      </c>
      <c r="J164" s="103">
        <v>708</v>
      </c>
      <c r="K164" s="84"/>
      <c r="L164" s="83">
        <v>255.93</v>
      </c>
      <c r="M164" s="51">
        <v>288</v>
      </c>
      <c r="N164" s="13">
        <v>0.1</v>
      </c>
      <c r="O164" s="14">
        <v>0.03</v>
      </c>
      <c r="P164" s="11">
        <v>0.02</v>
      </c>
      <c r="R164" s="87">
        <f>308*1.1</f>
        <v>338.8</v>
      </c>
    </row>
    <row r="165" spans="1:18" ht="14.25" customHeight="1" thickBot="1">
      <c r="A165" s="603" t="s">
        <v>29</v>
      </c>
      <c r="B165" s="604"/>
      <c r="C165" s="604"/>
      <c r="D165" s="604"/>
      <c r="E165" s="604"/>
      <c r="F165" s="604"/>
      <c r="G165" s="604"/>
      <c r="H165" s="604"/>
      <c r="I165" s="604"/>
      <c r="J165" s="604"/>
      <c r="K165" s="84"/>
      <c r="L165" s="83">
        <v>0</v>
      </c>
      <c r="M165" s="71"/>
      <c r="N165" s="13" t="e">
        <v>#DIV/0!</v>
      </c>
      <c r="O165" s="14" t="e">
        <v>#DIV/0!</v>
      </c>
      <c r="P165" s="11" t="e">
        <v>#DIV/0!</v>
      </c>
      <c r="R165" s="87"/>
    </row>
    <row r="166" spans="1:18" ht="57.75" customHeight="1" thickBot="1">
      <c r="A166" s="608">
        <v>2</v>
      </c>
      <c r="B166" s="488"/>
      <c r="C166" s="366" t="s">
        <v>6</v>
      </c>
      <c r="D166" s="100" t="s">
        <v>78</v>
      </c>
      <c r="E166" s="616" t="s">
        <v>46</v>
      </c>
      <c r="F166" s="616">
        <v>200</v>
      </c>
      <c r="G166" s="736">
        <v>48</v>
      </c>
      <c r="H166" s="734">
        <v>1759</v>
      </c>
      <c r="I166" s="685">
        <v>11</v>
      </c>
      <c r="J166" s="103">
        <v>363</v>
      </c>
      <c r="K166" s="84"/>
      <c r="L166" s="83">
        <v>111.02</v>
      </c>
      <c r="M166" s="72">
        <v>125</v>
      </c>
      <c r="N166" s="13">
        <v>0.3</v>
      </c>
      <c r="O166" s="14">
        <v>0.03</v>
      </c>
      <c r="P166" s="73">
        <v>0.02</v>
      </c>
      <c r="R166" s="87">
        <f>134*1.1</f>
        <v>147.4</v>
      </c>
    </row>
    <row r="167" spans="1:18" s="92" customFormat="1" ht="57.75" customHeight="1">
      <c r="A167" s="741"/>
      <c r="B167" s="489"/>
      <c r="C167" s="252" t="s">
        <v>14</v>
      </c>
      <c r="D167" s="237"/>
      <c r="E167" s="738"/>
      <c r="F167" s="738"/>
      <c r="G167" s="742"/>
      <c r="H167" s="777"/>
      <c r="I167" s="747"/>
      <c r="J167" s="360">
        <v>409</v>
      </c>
      <c r="K167" s="153"/>
      <c r="L167" s="154">
        <v>134.75</v>
      </c>
      <c r="M167" s="74">
        <v>151</v>
      </c>
      <c r="N167" s="106">
        <v>0.25</v>
      </c>
      <c r="O167" s="107">
        <v>0.1</v>
      </c>
      <c r="P167" s="105">
        <v>0.03</v>
      </c>
      <c r="R167" s="158">
        <f>162*1.1</f>
        <v>178.20000000000002</v>
      </c>
    </row>
    <row r="168" spans="1:18" ht="57.75" customHeight="1">
      <c r="A168" s="689"/>
      <c r="B168" s="490"/>
      <c r="C168" s="249" t="s">
        <v>13</v>
      </c>
      <c r="D168" s="115"/>
      <c r="E168" s="617"/>
      <c r="F168" s="617"/>
      <c r="G168" s="737"/>
      <c r="H168" s="735"/>
      <c r="I168" s="686"/>
      <c r="J168" s="360">
        <v>409</v>
      </c>
      <c r="K168" s="84"/>
      <c r="L168" s="83">
        <v>134.75</v>
      </c>
      <c r="M168" s="74">
        <v>151</v>
      </c>
      <c r="N168" s="13">
        <v>0.25</v>
      </c>
      <c r="O168" s="14">
        <v>0.1</v>
      </c>
      <c r="P168" s="11">
        <v>0.03</v>
      </c>
      <c r="R168" s="87">
        <f>162*1.1</f>
        <v>178.20000000000002</v>
      </c>
    </row>
    <row r="169" spans="1:18" ht="57.75" customHeight="1">
      <c r="A169" s="689"/>
      <c r="B169" s="490"/>
      <c r="C169" s="249" t="s">
        <v>12</v>
      </c>
      <c r="D169" s="117" t="s">
        <v>78</v>
      </c>
      <c r="E169" s="617"/>
      <c r="F169" s="617"/>
      <c r="G169" s="737"/>
      <c r="H169" s="735"/>
      <c r="I169" s="686"/>
      <c r="J169" s="360">
        <v>409</v>
      </c>
      <c r="K169" s="84"/>
      <c r="L169" s="83">
        <v>134.75</v>
      </c>
      <c r="M169" s="74">
        <v>151</v>
      </c>
      <c r="N169" s="13">
        <v>0.25</v>
      </c>
      <c r="O169" s="14">
        <v>0.1</v>
      </c>
      <c r="P169" s="11">
        <v>0.03</v>
      </c>
      <c r="R169" s="87"/>
    </row>
    <row r="170" spans="1:18" ht="57.75" customHeight="1">
      <c r="A170" s="689"/>
      <c r="B170" s="490"/>
      <c r="C170" s="249" t="s">
        <v>38</v>
      </c>
      <c r="D170" s="117" t="s">
        <v>78</v>
      </c>
      <c r="E170" s="617"/>
      <c r="F170" s="617"/>
      <c r="G170" s="737"/>
      <c r="H170" s="735"/>
      <c r="I170" s="686"/>
      <c r="J170" s="360">
        <v>409</v>
      </c>
      <c r="K170" s="84"/>
      <c r="L170" s="83">
        <v>134.75</v>
      </c>
      <c r="M170" s="74">
        <v>151</v>
      </c>
      <c r="N170" s="13">
        <v>0.25</v>
      </c>
      <c r="O170" s="14">
        <v>0.1</v>
      </c>
      <c r="P170" s="11">
        <v>0.03</v>
      </c>
      <c r="R170" s="87"/>
    </row>
    <row r="171" spans="1:18" ht="57.75" customHeight="1">
      <c r="A171" s="689"/>
      <c r="B171" s="490"/>
      <c r="C171" s="249" t="s">
        <v>44</v>
      </c>
      <c r="D171" s="117" t="s">
        <v>78</v>
      </c>
      <c r="E171" s="617"/>
      <c r="F171" s="617"/>
      <c r="G171" s="737"/>
      <c r="H171" s="735"/>
      <c r="I171" s="686"/>
      <c r="J171" s="360">
        <v>409</v>
      </c>
      <c r="K171" s="84"/>
      <c r="L171" s="83">
        <v>134.75</v>
      </c>
      <c r="M171" s="74">
        <v>151</v>
      </c>
      <c r="N171" s="13">
        <v>0.25</v>
      </c>
      <c r="O171" s="14">
        <v>0.1</v>
      </c>
      <c r="P171" s="11">
        <v>0.03</v>
      </c>
      <c r="R171" s="87"/>
    </row>
    <row r="172" spans="1:18" ht="57.75" customHeight="1">
      <c r="A172" s="689"/>
      <c r="B172" s="490"/>
      <c r="C172" s="252" t="s">
        <v>86</v>
      </c>
      <c r="D172" s="117" t="s">
        <v>78</v>
      </c>
      <c r="E172" s="617"/>
      <c r="F172" s="617"/>
      <c r="G172" s="737"/>
      <c r="H172" s="735"/>
      <c r="I172" s="686"/>
      <c r="J172" s="3">
        <v>472</v>
      </c>
      <c r="K172" s="84"/>
      <c r="L172" s="83">
        <v>134.75</v>
      </c>
      <c r="M172" s="74">
        <v>151</v>
      </c>
      <c r="N172" s="13">
        <v>0.25</v>
      </c>
      <c r="O172" s="14">
        <v>0.1</v>
      </c>
      <c r="P172" s="11">
        <v>0.03</v>
      </c>
      <c r="R172" s="87"/>
    </row>
    <row r="173" spans="1:18" s="92" customFormat="1" ht="57.75" customHeight="1">
      <c r="A173" s="689"/>
      <c r="B173" s="490"/>
      <c r="C173" s="572" t="s">
        <v>85</v>
      </c>
      <c r="D173" s="117" t="s">
        <v>78</v>
      </c>
      <c r="E173" s="617"/>
      <c r="F173" s="617"/>
      <c r="G173" s="737"/>
      <c r="H173" s="735"/>
      <c r="I173" s="686"/>
      <c r="J173" s="3">
        <v>472</v>
      </c>
      <c r="K173" s="153"/>
      <c r="L173" s="154"/>
      <c r="M173" s="74"/>
      <c r="N173" s="106"/>
      <c r="O173" s="107"/>
      <c r="P173" s="105"/>
      <c r="R173" s="158"/>
    </row>
    <row r="174" spans="1:18" ht="57.75" customHeight="1">
      <c r="A174" s="689"/>
      <c r="B174" s="490"/>
      <c r="C174" s="249" t="s">
        <v>107</v>
      </c>
      <c r="D174" s="117"/>
      <c r="E174" s="617"/>
      <c r="F174" s="617"/>
      <c r="G174" s="737"/>
      <c r="H174" s="735"/>
      <c r="I174" s="686"/>
      <c r="J174" s="3">
        <v>472</v>
      </c>
      <c r="K174" s="84"/>
      <c r="L174" s="83">
        <v>134.75</v>
      </c>
      <c r="M174" s="74">
        <v>151</v>
      </c>
      <c r="N174" s="13">
        <v>0.25</v>
      </c>
      <c r="O174" s="14">
        <v>0.1</v>
      </c>
      <c r="P174" s="11">
        <v>0.03</v>
      </c>
      <c r="R174" s="87"/>
    </row>
    <row r="175" spans="1:18" ht="57.75" customHeight="1">
      <c r="A175" s="689"/>
      <c r="B175" s="490"/>
      <c r="C175" s="481" t="s">
        <v>87</v>
      </c>
      <c r="D175" s="117"/>
      <c r="E175" s="617"/>
      <c r="F175" s="617"/>
      <c r="G175" s="737"/>
      <c r="H175" s="735"/>
      <c r="I175" s="686"/>
      <c r="J175" s="3">
        <v>472</v>
      </c>
      <c r="K175" s="84"/>
      <c r="L175" s="83">
        <v>134.75</v>
      </c>
      <c r="M175" s="74">
        <v>151</v>
      </c>
      <c r="N175" s="13">
        <v>0.25</v>
      </c>
      <c r="O175" s="14">
        <v>0.1</v>
      </c>
      <c r="P175" s="11">
        <v>0.03</v>
      </c>
      <c r="R175" s="87"/>
    </row>
    <row r="176" spans="1:18" ht="57.75" customHeight="1" thickBot="1">
      <c r="A176" s="609"/>
      <c r="B176" s="492"/>
      <c r="C176" s="389" t="s">
        <v>92</v>
      </c>
      <c r="D176" s="124" t="s">
        <v>78</v>
      </c>
      <c r="E176" s="618"/>
      <c r="F176" s="618"/>
      <c r="G176" s="743"/>
      <c r="H176" s="778"/>
      <c r="I176" s="748"/>
      <c r="J176" s="3">
        <v>472</v>
      </c>
      <c r="K176" s="84"/>
      <c r="L176" s="83">
        <v>134.75</v>
      </c>
      <c r="M176" s="75">
        <v>151</v>
      </c>
      <c r="N176" s="13">
        <v>0.25</v>
      </c>
      <c r="O176" s="14">
        <v>0.1</v>
      </c>
      <c r="P176" s="11">
        <v>0.03</v>
      </c>
      <c r="R176" s="87"/>
    </row>
    <row r="177" spans="1:18" s="92" customFormat="1" ht="18.75" customHeight="1" thickBot="1">
      <c r="A177" s="603" t="s">
        <v>117</v>
      </c>
      <c r="B177" s="739"/>
      <c r="C177" s="739"/>
      <c r="D177" s="739"/>
      <c r="E177" s="739"/>
      <c r="F177" s="739"/>
      <c r="G177" s="739"/>
      <c r="H177" s="739"/>
      <c r="I177" s="739"/>
      <c r="J177" s="739"/>
      <c r="K177" s="153"/>
      <c r="L177" s="154"/>
      <c r="M177" s="147"/>
      <c r="N177" s="106"/>
      <c r="O177" s="107"/>
      <c r="P177" s="105"/>
      <c r="R177" s="158"/>
    </row>
    <row r="178" spans="1:18" ht="57.75" customHeight="1" thickBot="1">
      <c r="A178" s="613">
        <v>3</v>
      </c>
      <c r="B178" s="488"/>
      <c r="C178" s="366" t="s">
        <v>6</v>
      </c>
      <c r="D178" s="100"/>
      <c r="E178" s="753" t="s">
        <v>118</v>
      </c>
      <c r="F178" s="626">
        <v>200</v>
      </c>
      <c r="G178" s="744">
        <v>104</v>
      </c>
      <c r="H178" s="629">
        <v>1821</v>
      </c>
      <c r="I178" s="635">
        <v>11</v>
      </c>
      <c r="J178" s="103">
        <v>209</v>
      </c>
      <c r="K178" s="174">
        <v>75.83</v>
      </c>
      <c r="L178" s="83"/>
      <c r="M178" s="76"/>
      <c r="N178" s="13"/>
      <c r="O178" s="14"/>
      <c r="P178" s="11"/>
      <c r="R178" s="87"/>
    </row>
    <row r="179" spans="1:18" s="92" customFormat="1" ht="57.75" customHeight="1" thickBot="1">
      <c r="A179" s="614"/>
      <c r="B179" s="489"/>
      <c r="C179" s="252" t="s">
        <v>12</v>
      </c>
      <c r="D179" s="237"/>
      <c r="E179" s="754"/>
      <c r="F179" s="627"/>
      <c r="G179" s="745"/>
      <c r="H179" s="630"/>
      <c r="I179" s="592"/>
      <c r="J179" s="215">
        <v>239</v>
      </c>
      <c r="K179" s="174">
        <v>90.83</v>
      </c>
      <c r="L179" s="154"/>
      <c r="M179" s="147"/>
      <c r="N179" s="106"/>
      <c r="O179" s="107"/>
      <c r="P179" s="105"/>
      <c r="R179" s="158"/>
    </row>
    <row r="180" spans="1:18" s="92" customFormat="1" ht="57.75" customHeight="1" thickBot="1">
      <c r="A180" s="614"/>
      <c r="B180" s="489"/>
      <c r="C180" s="252" t="s">
        <v>44</v>
      </c>
      <c r="D180" s="237"/>
      <c r="E180" s="754"/>
      <c r="F180" s="627"/>
      <c r="G180" s="745"/>
      <c r="H180" s="630"/>
      <c r="I180" s="592"/>
      <c r="J180" s="215">
        <v>239</v>
      </c>
      <c r="K180" s="174">
        <v>90.83</v>
      </c>
      <c r="L180" s="154"/>
      <c r="M180" s="147"/>
      <c r="N180" s="106"/>
      <c r="O180" s="107"/>
      <c r="P180" s="105"/>
      <c r="R180" s="158"/>
    </row>
    <row r="181" spans="1:18" ht="57.75" customHeight="1" thickBot="1">
      <c r="A181" s="614"/>
      <c r="B181" s="490"/>
      <c r="C181" s="249" t="s">
        <v>38</v>
      </c>
      <c r="D181" s="117"/>
      <c r="E181" s="754"/>
      <c r="F181" s="627"/>
      <c r="G181" s="745"/>
      <c r="H181" s="630"/>
      <c r="I181" s="592"/>
      <c r="J181" s="215">
        <v>239</v>
      </c>
      <c r="K181" s="174">
        <v>90.83</v>
      </c>
      <c r="L181" s="83"/>
      <c r="M181" s="76"/>
      <c r="N181" s="13"/>
      <c r="O181" s="14"/>
      <c r="P181" s="11"/>
      <c r="R181" s="87"/>
    </row>
    <row r="182" spans="1:18" s="92" customFormat="1" ht="57.75" customHeight="1" thickBot="1">
      <c r="A182" s="614"/>
      <c r="B182" s="491"/>
      <c r="C182" s="482" t="s">
        <v>93</v>
      </c>
      <c r="D182" s="22"/>
      <c r="E182" s="754"/>
      <c r="F182" s="627"/>
      <c r="G182" s="745"/>
      <c r="H182" s="630"/>
      <c r="I182" s="592"/>
      <c r="J182" s="3">
        <v>278</v>
      </c>
      <c r="K182" s="174">
        <v>90.83</v>
      </c>
      <c r="L182" s="154"/>
      <c r="M182" s="147"/>
      <c r="N182" s="106"/>
      <c r="O182" s="107"/>
      <c r="P182" s="105"/>
      <c r="R182" s="158"/>
    </row>
    <row r="183" spans="1:18" ht="57.75" customHeight="1" thickBot="1">
      <c r="A183" s="615"/>
      <c r="B183" s="492"/>
      <c r="C183" s="389" t="s">
        <v>86</v>
      </c>
      <c r="D183" s="124"/>
      <c r="E183" s="755"/>
      <c r="F183" s="628"/>
      <c r="G183" s="746"/>
      <c r="H183" s="631"/>
      <c r="I183" s="593"/>
      <c r="J183" s="4">
        <v>278</v>
      </c>
      <c r="K183" s="174">
        <v>90.83</v>
      </c>
      <c r="L183" s="83"/>
      <c r="M183" s="76"/>
      <c r="N183" s="13"/>
      <c r="O183" s="14"/>
      <c r="P183" s="11"/>
      <c r="R183" s="87"/>
    </row>
    <row r="184" spans="1:18" ht="14.25" customHeight="1" thickBot="1">
      <c r="A184" s="649" t="s">
        <v>149</v>
      </c>
      <c r="B184" s="650"/>
      <c r="C184" s="650"/>
      <c r="D184" s="650"/>
      <c r="E184" s="650"/>
      <c r="F184" s="650"/>
      <c r="G184" s="650"/>
      <c r="H184" s="650"/>
      <c r="I184" s="650"/>
      <c r="J184" s="650"/>
      <c r="K184" s="84"/>
      <c r="L184" s="83">
        <v>0</v>
      </c>
      <c r="M184" s="71"/>
      <c r="N184" s="13" t="e">
        <v>#DIV/0!</v>
      </c>
      <c r="O184" s="14" t="e">
        <v>#DIV/0!</v>
      </c>
      <c r="P184" s="11" t="e">
        <v>#DIV/0!</v>
      </c>
      <c r="R184" s="87"/>
    </row>
    <row r="185" spans="1:18" ht="60" customHeight="1" thickBot="1">
      <c r="A185" s="613">
        <v>4</v>
      </c>
      <c r="B185" s="484"/>
      <c r="C185" s="146" t="s">
        <v>6</v>
      </c>
      <c r="D185" s="47"/>
      <c r="E185" s="421" t="s">
        <v>64</v>
      </c>
      <c r="F185" s="756">
        <v>60</v>
      </c>
      <c r="G185" s="372">
        <v>60</v>
      </c>
      <c r="H185" s="369">
        <v>1498</v>
      </c>
      <c r="I185" s="404">
        <v>13</v>
      </c>
      <c r="J185" s="103">
        <v>642</v>
      </c>
      <c r="K185" s="84"/>
      <c r="L185" s="83">
        <v>211.86</v>
      </c>
      <c r="M185" s="78">
        <v>238</v>
      </c>
      <c r="N185" s="13">
        <v>0.2</v>
      </c>
      <c r="O185" s="14">
        <v>0.05</v>
      </c>
      <c r="P185" s="11">
        <v>0.02</v>
      </c>
      <c r="R185" s="87">
        <f>255*1.1</f>
        <v>280.5</v>
      </c>
    </row>
    <row r="186" spans="1:18" ht="60" customHeight="1" thickBot="1">
      <c r="A186" s="614"/>
      <c r="B186" s="485"/>
      <c r="C186" s="405" t="s">
        <v>44</v>
      </c>
      <c r="D186" s="114"/>
      <c r="E186" s="422" t="s">
        <v>64</v>
      </c>
      <c r="F186" s="757"/>
      <c r="G186" s="152">
        <v>60</v>
      </c>
      <c r="H186" s="120">
        <v>1498</v>
      </c>
      <c r="I186" s="121">
        <v>13</v>
      </c>
      <c r="J186" s="215">
        <v>814</v>
      </c>
      <c r="K186" s="84"/>
      <c r="L186" s="83">
        <v>284.75</v>
      </c>
      <c r="M186" s="78">
        <v>320</v>
      </c>
      <c r="N186" s="13">
        <v>0.2</v>
      </c>
      <c r="O186" s="14">
        <v>0.05</v>
      </c>
      <c r="P186" s="11">
        <v>3.0000000000000027E-2</v>
      </c>
      <c r="R186" s="87">
        <f>342*1.1</f>
        <v>376.20000000000005</v>
      </c>
    </row>
    <row r="187" spans="1:18" ht="60" customHeight="1" thickBot="1">
      <c r="A187" s="614"/>
      <c r="B187" s="486"/>
      <c r="C187" s="406" t="s">
        <v>38</v>
      </c>
      <c r="D187" s="115"/>
      <c r="E187" s="423" t="s">
        <v>64</v>
      </c>
      <c r="F187" s="757"/>
      <c r="G187" s="150">
        <v>60</v>
      </c>
      <c r="H187" s="122">
        <v>1498</v>
      </c>
      <c r="I187" s="123">
        <v>13</v>
      </c>
      <c r="J187" s="215">
        <v>814</v>
      </c>
      <c r="K187" s="84"/>
      <c r="L187" s="83">
        <v>284.75</v>
      </c>
      <c r="M187" s="78">
        <v>320</v>
      </c>
      <c r="N187" s="13">
        <v>0.2</v>
      </c>
      <c r="O187" s="14">
        <v>0.05</v>
      </c>
      <c r="P187" s="11">
        <v>3.0000000000000027E-2</v>
      </c>
      <c r="R187" s="87"/>
    </row>
    <row r="188" spans="1:18" ht="60" customHeight="1" thickBot="1">
      <c r="A188" s="615"/>
      <c r="B188" s="487"/>
      <c r="C188" s="407" t="s">
        <v>12</v>
      </c>
      <c r="D188" s="172"/>
      <c r="E188" s="424" t="s">
        <v>64</v>
      </c>
      <c r="F188" s="758"/>
      <c r="G188" s="151">
        <v>60</v>
      </c>
      <c r="H188" s="125">
        <v>1498</v>
      </c>
      <c r="I188" s="126">
        <v>13</v>
      </c>
      <c r="J188" s="215">
        <v>814</v>
      </c>
      <c r="K188" s="84"/>
      <c r="L188" s="83">
        <v>284.75</v>
      </c>
      <c r="M188" s="79">
        <v>320</v>
      </c>
      <c r="N188" s="13">
        <v>0.2</v>
      </c>
      <c r="O188" s="14">
        <v>0.05</v>
      </c>
      <c r="P188" s="11">
        <v>3.0000000000000027E-2</v>
      </c>
      <c r="R188" s="87"/>
    </row>
    <row r="189" spans="1:18" s="92" customFormat="1" ht="26.45" customHeight="1" thickBot="1">
      <c r="A189" s="715" t="s">
        <v>170</v>
      </c>
      <c r="B189" s="715"/>
      <c r="C189" s="715"/>
      <c r="D189" s="715"/>
      <c r="E189" s="715"/>
      <c r="F189" s="715"/>
      <c r="G189" s="715"/>
      <c r="H189" s="715"/>
      <c r="I189" s="715"/>
      <c r="J189" s="715"/>
      <c r="K189" s="153"/>
      <c r="L189" s="154"/>
      <c r="M189" s="60"/>
      <c r="N189" s="106"/>
      <c r="O189" s="107"/>
      <c r="P189" s="105"/>
      <c r="R189" s="158"/>
    </row>
    <row r="190" spans="1:18" s="92" customFormat="1" ht="60" customHeight="1" thickBot="1">
      <c r="A190" s="185"/>
      <c r="B190" s="568"/>
      <c r="C190" s="404" t="s">
        <v>44</v>
      </c>
      <c r="D190" s="133" t="s">
        <v>113</v>
      </c>
      <c r="E190" s="387" t="s">
        <v>171</v>
      </c>
      <c r="F190" s="369"/>
      <c r="G190" s="369">
        <v>264</v>
      </c>
      <c r="H190" s="369">
        <v>1363</v>
      </c>
      <c r="I190" s="370">
        <v>14</v>
      </c>
      <c r="J190" s="103">
        <v>107</v>
      </c>
      <c r="K190" s="153"/>
      <c r="L190" s="154"/>
      <c r="M190" s="60"/>
      <c r="N190" s="106"/>
      <c r="O190" s="107"/>
      <c r="P190" s="105"/>
      <c r="R190" s="158"/>
    </row>
    <row r="191" spans="1:18" ht="72" customHeight="1" thickBot="1"/>
    <row r="192" spans="1:18" ht="21" customHeight="1" thickBot="1">
      <c r="A192" s="774" t="s">
        <v>140</v>
      </c>
      <c r="B192" s="775"/>
      <c r="C192" s="775"/>
      <c r="D192" s="775"/>
      <c r="E192" s="775"/>
      <c r="F192" s="775"/>
      <c r="G192" s="775"/>
      <c r="H192" s="775"/>
      <c r="I192" s="775"/>
      <c r="J192" s="775"/>
      <c r="K192" s="775"/>
      <c r="L192" s="775"/>
      <c r="M192" s="776"/>
    </row>
    <row r="193" spans="1:18" s="92" customFormat="1" ht="46.5" customHeight="1" thickBot="1">
      <c r="A193" s="93" t="s">
        <v>0</v>
      </c>
      <c r="B193" s="594" t="s">
        <v>5</v>
      </c>
      <c r="C193" s="595"/>
      <c r="D193" s="596"/>
      <c r="E193" s="94" t="s">
        <v>7</v>
      </c>
      <c r="F193" s="94" t="s">
        <v>16</v>
      </c>
      <c r="G193" s="94" t="s">
        <v>138</v>
      </c>
      <c r="H193" s="95" t="s">
        <v>8</v>
      </c>
      <c r="I193" s="94" t="s">
        <v>25</v>
      </c>
      <c r="J193" s="94" t="s">
        <v>56</v>
      </c>
      <c r="K193" s="428">
        <v>1.05</v>
      </c>
      <c r="L193" s="94" t="s">
        <v>119</v>
      </c>
      <c r="M193" s="94" t="s">
        <v>120</v>
      </c>
      <c r="N193" s="7" t="s">
        <v>114</v>
      </c>
      <c r="O193" s="7" t="s">
        <v>115</v>
      </c>
      <c r="P193" s="7" t="s">
        <v>116</v>
      </c>
      <c r="R193" s="85"/>
    </row>
    <row r="194" spans="1:18" ht="15" customHeight="1" thickBot="1">
      <c r="A194" s="603" t="s">
        <v>10</v>
      </c>
      <c r="B194" s="604"/>
      <c r="C194" s="604"/>
      <c r="D194" s="604"/>
      <c r="E194" s="604"/>
      <c r="F194" s="604"/>
      <c r="G194" s="604"/>
      <c r="H194" s="604"/>
      <c r="I194" s="604"/>
      <c r="J194" s="604"/>
      <c r="K194" s="429"/>
      <c r="L194" s="430">
        <v>0</v>
      </c>
      <c r="M194" s="432"/>
      <c r="N194" s="13" t="e">
        <v>#DIV/0!</v>
      </c>
      <c r="O194" s="14" t="e">
        <v>#DIV/0!</v>
      </c>
      <c r="P194" s="11" t="e">
        <v>#DIV/0!</v>
      </c>
      <c r="R194" s="87"/>
    </row>
    <row r="195" spans="1:18" ht="48" customHeight="1" thickBot="1">
      <c r="A195" s="168">
        <v>2</v>
      </c>
      <c r="B195" s="98"/>
      <c r="C195" s="132" t="s">
        <v>6</v>
      </c>
      <c r="D195" s="133" t="s">
        <v>113</v>
      </c>
      <c r="E195" s="134" t="s">
        <v>129</v>
      </c>
      <c r="F195" s="134">
        <v>80</v>
      </c>
      <c r="G195" s="148">
        <v>11.52</v>
      </c>
      <c r="H195" s="129">
        <v>2159</v>
      </c>
      <c r="I195" s="130">
        <v>9</v>
      </c>
      <c r="J195" s="103">
        <v>1969</v>
      </c>
      <c r="K195" s="429"/>
      <c r="L195" s="430">
        <v>711.86</v>
      </c>
      <c r="M195" s="62">
        <v>800</v>
      </c>
      <c r="N195" s="13">
        <v>0.1</v>
      </c>
      <c r="O195" s="14">
        <v>0.03</v>
      </c>
      <c r="P195" s="11">
        <v>2.0000000000000018E-2</v>
      </c>
      <c r="R195" s="87">
        <f>855*1.1</f>
        <v>940.50000000000011</v>
      </c>
    </row>
    <row r="196" spans="1:18" ht="15.75" thickBot="1">
      <c r="A196" s="603" t="s">
        <v>2</v>
      </c>
      <c r="B196" s="604"/>
      <c r="C196" s="604"/>
      <c r="D196" s="604"/>
      <c r="E196" s="604"/>
      <c r="F196" s="604"/>
      <c r="G196" s="604"/>
      <c r="H196" s="604"/>
      <c r="I196" s="604"/>
      <c r="J196" s="604"/>
      <c r="K196" s="429"/>
      <c r="L196" s="430">
        <v>0</v>
      </c>
      <c r="M196" s="432"/>
      <c r="N196" s="13" t="e">
        <v>#DIV/0!</v>
      </c>
      <c r="O196" s="14" t="e">
        <v>#DIV/0!</v>
      </c>
      <c r="P196" s="11" t="e">
        <v>#DIV/0!</v>
      </c>
      <c r="R196" s="87"/>
    </row>
    <row r="197" spans="1:18" ht="18.75" customHeight="1">
      <c r="A197" s="705">
        <v>3</v>
      </c>
      <c r="B197" s="676"/>
      <c r="C197" s="690" t="s">
        <v>6</v>
      </c>
      <c r="D197" s="127" t="s">
        <v>113</v>
      </c>
      <c r="E197" s="749" t="s">
        <v>17</v>
      </c>
      <c r="F197" s="374">
        <v>60</v>
      </c>
      <c r="G197" s="203">
        <v>12</v>
      </c>
      <c r="H197" s="135">
        <v>1654</v>
      </c>
      <c r="I197" s="200">
        <v>12</v>
      </c>
      <c r="J197" s="215">
        <v>1770</v>
      </c>
      <c r="K197" s="353"/>
      <c r="L197" s="354">
        <v>640.67999999999995</v>
      </c>
      <c r="M197" s="28">
        <v>720</v>
      </c>
      <c r="N197" s="13">
        <v>0.1</v>
      </c>
      <c r="O197" s="14">
        <v>0.03</v>
      </c>
      <c r="P197" s="11">
        <v>2.0000000000000018E-2</v>
      </c>
      <c r="R197" s="87">
        <f>769*1.1</f>
        <v>845.90000000000009</v>
      </c>
    </row>
    <row r="198" spans="1:18" ht="18.75" customHeight="1">
      <c r="A198" s="706"/>
      <c r="B198" s="759"/>
      <c r="C198" s="691"/>
      <c r="D198" s="116" t="s">
        <v>113</v>
      </c>
      <c r="E198" s="750"/>
      <c r="F198" s="441">
        <v>70</v>
      </c>
      <c r="G198" s="204">
        <v>11</v>
      </c>
      <c r="H198" s="137">
        <v>1773</v>
      </c>
      <c r="I198" s="201">
        <v>11</v>
      </c>
      <c r="J198" s="3">
        <v>1871</v>
      </c>
      <c r="K198" s="355"/>
      <c r="L198" s="356">
        <v>676.27</v>
      </c>
      <c r="M198" s="55">
        <v>760</v>
      </c>
      <c r="N198" s="13">
        <v>0.1</v>
      </c>
      <c r="O198" s="14">
        <v>0.03</v>
      </c>
      <c r="P198" s="11">
        <v>2.0000000000000018E-2</v>
      </c>
      <c r="R198" s="87">
        <f>812*1.1</f>
        <v>893.2</v>
      </c>
    </row>
    <row r="199" spans="1:18" ht="19.5" customHeight="1" thickBot="1">
      <c r="A199" s="706"/>
      <c r="B199" s="618"/>
      <c r="C199" s="692"/>
      <c r="D199" s="411" t="s">
        <v>113</v>
      </c>
      <c r="E199" s="750"/>
      <c r="F199" s="375">
        <v>80</v>
      </c>
      <c r="G199" s="440">
        <v>10</v>
      </c>
      <c r="H199" s="191">
        <v>1842</v>
      </c>
      <c r="I199" s="143">
        <v>10</v>
      </c>
      <c r="J199" s="4">
        <v>2091</v>
      </c>
      <c r="K199" s="357"/>
      <c r="L199" s="358">
        <v>756.78</v>
      </c>
      <c r="M199" s="63">
        <v>850</v>
      </c>
      <c r="N199" s="13">
        <v>0.1</v>
      </c>
      <c r="O199" s="14">
        <v>0.03</v>
      </c>
      <c r="P199" s="11">
        <v>2.0000000000000018E-2</v>
      </c>
      <c r="R199" s="87">
        <f>909*1.1</f>
        <v>999.90000000000009</v>
      </c>
    </row>
    <row r="200" spans="1:18" ht="18.75" customHeight="1">
      <c r="A200" s="706"/>
      <c r="B200" s="616"/>
      <c r="C200" s="766" t="s">
        <v>12</v>
      </c>
      <c r="D200" s="127" t="s">
        <v>113</v>
      </c>
      <c r="E200" s="750"/>
      <c r="F200" s="374">
        <v>60</v>
      </c>
      <c r="G200" s="203">
        <v>12</v>
      </c>
      <c r="H200" s="135">
        <v>1654</v>
      </c>
      <c r="I200" s="200">
        <v>12</v>
      </c>
      <c r="J200" s="360">
        <v>2139</v>
      </c>
      <c r="K200" s="353"/>
      <c r="L200" s="354">
        <v>783.05</v>
      </c>
      <c r="M200" s="28">
        <v>880</v>
      </c>
      <c r="N200" s="13">
        <v>0.15</v>
      </c>
      <c r="O200" s="14">
        <v>0.05</v>
      </c>
      <c r="P200" s="11">
        <v>3.0000000000000027E-2</v>
      </c>
      <c r="R200" s="87">
        <f>940*1.1</f>
        <v>1034</v>
      </c>
    </row>
    <row r="201" spans="1:18" ht="18.75" customHeight="1">
      <c r="A201" s="706"/>
      <c r="B201" s="617"/>
      <c r="C201" s="752"/>
      <c r="D201" s="116" t="s">
        <v>113</v>
      </c>
      <c r="E201" s="750"/>
      <c r="F201" s="441">
        <v>70</v>
      </c>
      <c r="G201" s="204">
        <v>11</v>
      </c>
      <c r="H201" s="137">
        <v>1773</v>
      </c>
      <c r="I201" s="201">
        <v>11</v>
      </c>
      <c r="J201" s="360">
        <v>2139</v>
      </c>
      <c r="K201" s="355"/>
      <c r="L201" s="356">
        <v>800.85</v>
      </c>
      <c r="M201" s="55">
        <v>900</v>
      </c>
      <c r="N201" s="13">
        <v>0.15</v>
      </c>
      <c r="O201" s="14">
        <v>0.05</v>
      </c>
      <c r="P201" s="11">
        <v>3.0000000000000027E-2</v>
      </c>
      <c r="R201" s="87">
        <f>961*1.1</f>
        <v>1057.1000000000001</v>
      </c>
    </row>
    <row r="202" spans="1:18" ht="19.5" customHeight="1" thickBot="1">
      <c r="A202" s="706"/>
      <c r="B202" s="618"/>
      <c r="C202" s="767"/>
      <c r="D202" s="118" t="s">
        <v>113</v>
      </c>
      <c r="E202" s="750"/>
      <c r="F202" s="375">
        <v>80</v>
      </c>
      <c r="G202" s="440">
        <v>10</v>
      </c>
      <c r="H202" s="191">
        <v>1842</v>
      </c>
      <c r="I202" s="143">
        <v>10</v>
      </c>
      <c r="J202" s="4">
        <v>2237</v>
      </c>
      <c r="K202" s="357"/>
      <c r="L202" s="358">
        <v>818.64</v>
      </c>
      <c r="M202" s="63">
        <v>920</v>
      </c>
      <c r="N202" s="13">
        <v>0.15</v>
      </c>
      <c r="O202" s="14">
        <v>0.05</v>
      </c>
      <c r="P202" s="11">
        <v>3.0000000000000027E-2</v>
      </c>
      <c r="R202" s="87">
        <f>982*1.1</f>
        <v>1080.2</v>
      </c>
    </row>
    <row r="203" spans="1:18" ht="18.75" customHeight="1">
      <c r="A203" s="706"/>
      <c r="B203" s="616"/>
      <c r="C203" s="707" t="s">
        <v>13</v>
      </c>
      <c r="D203" s="127" t="s">
        <v>113</v>
      </c>
      <c r="E203" s="750"/>
      <c r="F203" s="374">
        <v>60</v>
      </c>
      <c r="G203" s="203">
        <v>12</v>
      </c>
      <c r="H203" s="135">
        <v>1654</v>
      </c>
      <c r="I203" s="200">
        <v>12</v>
      </c>
      <c r="J203" s="360">
        <v>2139</v>
      </c>
      <c r="K203" s="353"/>
      <c r="L203" s="354">
        <v>783.05</v>
      </c>
      <c r="M203" s="28">
        <v>880</v>
      </c>
      <c r="N203" s="13">
        <v>0.15</v>
      </c>
      <c r="O203" s="14">
        <v>0.05</v>
      </c>
      <c r="P203" s="11">
        <v>3.0000000000000027E-2</v>
      </c>
      <c r="R203" s="87"/>
    </row>
    <row r="204" spans="1:18" ht="18.75" customHeight="1">
      <c r="A204" s="706"/>
      <c r="B204" s="768"/>
      <c r="C204" s="752"/>
      <c r="D204" s="116" t="s">
        <v>113</v>
      </c>
      <c r="E204" s="750"/>
      <c r="F204" s="441">
        <v>70</v>
      </c>
      <c r="G204" s="204">
        <v>11</v>
      </c>
      <c r="H204" s="137">
        <v>1773</v>
      </c>
      <c r="I204" s="201">
        <v>11</v>
      </c>
      <c r="J204" s="360">
        <v>2139</v>
      </c>
      <c r="K204" s="355"/>
      <c r="L204" s="356">
        <v>800.85</v>
      </c>
      <c r="M204" s="55">
        <v>900</v>
      </c>
      <c r="N204" s="13">
        <v>0.15</v>
      </c>
      <c r="O204" s="14">
        <v>0.05</v>
      </c>
      <c r="P204" s="11">
        <v>3.0000000000000027E-2</v>
      </c>
      <c r="R204" s="87"/>
    </row>
    <row r="205" spans="1:18" ht="20.25" customHeight="1" thickBot="1">
      <c r="A205" s="706"/>
      <c r="B205" s="769"/>
      <c r="C205" s="708"/>
      <c r="D205" s="118" t="s">
        <v>113</v>
      </c>
      <c r="E205" s="750"/>
      <c r="F205" s="375">
        <v>80</v>
      </c>
      <c r="G205" s="440">
        <v>10</v>
      </c>
      <c r="H205" s="191">
        <v>1842</v>
      </c>
      <c r="I205" s="143">
        <v>10</v>
      </c>
      <c r="J205" s="4">
        <v>2237</v>
      </c>
      <c r="K205" s="357"/>
      <c r="L205" s="358">
        <v>818.64</v>
      </c>
      <c r="M205" s="63">
        <v>920</v>
      </c>
      <c r="N205" s="13">
        <v>0.15</v>
      </c>
      <c r="O205" s="14">
        <v>0.05</v>
      </c>
      <c r="P205" s="11">
        <v>3.0000000000000027E-2</v>
      </c>
      <c r="R205" s="87"/>
    </row>
    <row r="206" spans="1:18" ht="18.75" customHeight="1">
      <c r="A206" s="706"/>
      <c r="B206" s="676"/>
      <c r="C206" s="690" t="s">
        <v>28</v>
      </c>
      <c r="D206" s="403" t="s">
        <v>113</v>
      </c>
      <c r="E206" s="750"/>
      <c r="F206" s="374">
        <v>60</v>
      </c>
      <c r="G206" s="203">
        <v>12</v>
      </c>
      <c r="H206" s="135">
        <v>1654</v>
      </c>
      <c r="I206" s="200">
        <v>12</v>
      </c>
      <c r="J206" s="360">
        <v>2139</v>
      </c>
      <c r="K206" s="353"/>
      <c r="L206" s="354">
        <v>783.05</v>
      </c>
      <c r="M206" s="28">
        <v>880</v>
      </c>
      <c r="N206" s="13">
        <v>0.15</v>
      </c>
      <c r="O206" s="14">
        <v>0.05</v>
      </c>
      <c r="P206" s="11">
        <v>3.0000000000000027E-2</v>
      </c>
      <c r="R206" s="87"/>
    </row>
    <row r="207" spans="1:18" ht="18.75" customHeight="1">
      <c r="A207" s="706"/>
      <c r="B207" s="617"/>
      <c r="C207" s="691"/>
      <c r="D207" s="116" t="s">
        <v>113</v>
      </c>
      <c r="E207" s="750"/>
      <c r="F207" s="441">
        <v>70</v>
      </c>
      <c r="G207" s="204">
        <v>11</v>
      </c>
      <c r="H207" s="137">
        <v>1773</v>
      </c>
      <c r="I207" s="201">
        <v>11</v>
      </c>
      <c r="J207" s="360">
        <v>2139</v>
      </c>
      <c r="K207" s="355"/>
      <c r="L207" s="356">
        <v>800.85</v>
      </c>
      <c r="M207" s="55">
        <v>900</v>
      </c>
      <c r="N207" s="13">
        <v>0.15</v>
      </c>
      <c r="O207" s="14">
        <v>0.05</v>
      </c>
      <c r="P207" s="11">
        <v>3.0000000000000027E-2</v>
      </c>
      <c r="R207" s="87"/>
    </row>
    <row r="208" spans="1:18" ht="19.5" customHeight="1" thickBot="1">
      <c r="A208" s="764"/>
      <c r="B208" s="618"/>
      <c r="C208" s="692"/>
      <c r="D208" s="118" t="s">
        <v>113</v>
      </c>
      <c r="E208" s="751"/>
      <c r="F208" s="375">
        <v>80</v>
      </c>
      <c r="G208" s="440">
        <v>10</v>
      </c>
      <c r="H208" s="191">
        <v>1842</v>
      </c>
      <c r="I208" s="143">
        <v>10</v>
      </c>
      <c r="J208" s="360">
        <v>2139</v>
      </c>
      <c r="K208" s="357"/>
      <c r="L208" s="358">
        <v>818.64</v>
      </c>
      <c r="M208" s="63">
        <v>920</v>
      </c>
      <c r="N208" s="13">
        <v>0.15</v>
      </c>
      <c r="O208" s="14">
        <v>0.05</v>
      </c>
      <c r="P208" s="11">
        <v>3.0000000000000027E-2</v>
      </c>
      <c r="R208" s="87"/>
    </row>
    <row r="209" spans="1:18" ht="16.5" customHeight="1" thickBot="1">
      <c r="A209" s="603" t="s">
        <v>81</v>
      </c>
      <c r="B209" s="604"/>
      <c r="C209" s="604"/>
      <c r="D209" s="604"/>
      <c r="E209" s="604"/>
      <c r="F209" s="604"/>
      <c r="G209" s="604"/>
      <c r="H209" s="604"/>
      <c r="I209" s="604"/>
      <c r="J209" s="604"/>
      <c r="K209" s="429"/>
      <c r="L209" s="430">
        <v>0</v>
      </c>
      <c r="M209" s="433"/>
      <c r="N209" s="13" t="e">
        <v>#DIV/0!</v>
      </c>
      <c r="O209" s="14" t="e">
        <v>#DIV/0!</v>
      </c>
      <c r="P209" s="11" t="e">
        <v>#DIV/0!</v>
      </c>
      <c r="R209" s="87"/>
    </row>
    <row r="210" spans="1:18" ht="41.25" customHeight="1">
      <c r="A210" s="693">
        <v>4</v>
      </c>
      <c r="B210" s="144"/>
      <c r="C210" s="197" t="s">
        <v>6</v>
      </c>
      <c r="D210" s="127" t="s">
        <v>113</v>
      </c>
      <c r="E210" s="199" t="s">
        <v>41</v>
      </c>
      <c r="F210" s="701">
        <v>60</v>
      </c>
      <c r="G210" s="195">
        <v>10.38</v>
      </c>
      <c r="H210" s="189">
        <v>1448</v>
      </c>
      <c r="I210" s="192">
        <v>13</v>
      </c>
      <c r="J210" s="215">
        <v>2067</v>
      </c>
      <c r="K210" s="353"/>
      <c r="L210" s="354">
        <v>747.46</v>
      </c>
      <c r="M210" s="28">
        <v>840</v>
      </c>
      <c r="N210" s="13">
        <v>0.1</v>
      </c>
      <c r="O210" s="14">
        <v>0.03</v>
      </c>
      <c r="P210" s="11">
        <v>2.0000000000000018E-2</v>
      </c>
      <c r="R210" s="87">
        <f>897*1.1</f>
        <v>986.7</v>
      </c>
    </row>
    <row r="211" spans="1:18" ht="42" customHeight="1" thickBot="1">
      <c r="A211" s="694"/>
      <c r="B211" s="145"/>
      <c r="C211" s="198" t="s">
        <v>12</v>
      </c>
      <c r="D211" s="118" t="s">
        <v>113</v>
      </c>
      <c r="E211" s="207" t="s">
        <v>41</v>
      </c>
      <c r="F211" s="703"/>
      <c r="G211" s="196">
        <v>10.38</v>
      </c>
      <c r="H211" s="191">
        <v>1448</v>
      </c>
      <c r="I211" s="194">
        <v>13</v>
      </c>
      <c r="J211" s="4">
        <v>2121</v>
      </c>
      <c r="K211" s="357"/>
      <c r="L211" s="358">
        <v>774.58</v>
      </c>
      <c r="M211" s="63">
        <v>870</v>
      </c>
      <c r="N211" s="13">
        <v>0.15</v>
      </c>
      <c r="O211" s="14">
        <v>0.05</v>
      </c>
      <c r="P211" s="11">
        <v>3.0000000000000027E-2</v>
      </c>
      <c r="R211" s="87">
        <f>930*1.1</f>
        <v>1023.0000000000001</v>
      </c>
    </row>
    <row r="212" spans="1:18" ht="16.5" thickBot="1">
      <c r="A212" s="597" t="s">
        <v>9</v>
      </c>
      <c r="B212" s="598"/>
      <c r="C212" s="598"/>
      <c r="D212" s="598"/>
      <c r="E212" s="598"/>
      <c r="F212" s="598"/>
      <c r="G212" s="598"/>
      <c r="H212" s="598"/>
      <c r="I212" s="598"/>
      <c r="J212" s="598"/>
      <c r="K212" s="429"/>
      <c r="L212" s="430">
        <v>0</v>
      </c>
      <c r="M212" s="434"/>
      <c r="N212" s="13" t="e">
        <v>#DIV/0!</v>
      </c>
      <c r="O212" s="14" t="e">
        <v>#DIV/0!</v>
      </c>
      <c r="P212" s="11" t="e">
        <v>#DIV/0!</v>
      </c>
      <c r="R212" s="87"/>
    </row>
    <row r="213" spans="1:18" ht="15.75" thickBot="1">
      <c r="A213" s="649" t="s">
        <v>27</v>
      </c>
      <c r="B213" s="650"/>
      <c r="C213" s="650"/>
      <c r="D213" s="650"/>
      <c r="E213" s="650"/>
      <c r="F213" s="650"/>
      <c r="G213" s="650"/>
      <c r="H213" s="650"/>
      <c r="I213" s="650"/>
      <c r="J213" s="650"/>
      <c r="K213" s="429"/>
      <c r="L213" s="430">
        <v>0</v>
      </c>
      <c r="M213" s="432"/>
      <c r="N213" s="13" t="e">
        <v>#DIV/0!</v>
      </c>
      <c r="O213" s="14" t="e">
        <v>#DIV/0!</v>
      </c>
      <c r="P213" s="11" t="e">
        <v>#DIV/0!</v>
      </c>
      <c r="R213" s="87"/>
    </row>
    <row r="214" spans="1:18" ht="57" customHeight="1" thickBot="1">
      <c r="A214" s="608">
        <v>1</v>
      </c>
      <c r="B214" s="297"/>
      <c r="C214" s="295" t="s">
        <v>98</v>
      </c>
      <c r="D214" s="127" t="s">
        <v>113</v>
      </c>
      <c r="E214" s="687" t="s">
        <v>22</v>
      </c>
      <c r="F214" s="616">
        <v>160</v>
      </c>
      <c r="G214" s="736">
        <v>5</v>
      </c>
      <c r="H214" s="734">
        <v>1887</v>
      </c>
      <c r="I214" s="685">
        <v>10</v>
      </c>
      <c r="J214" s="103">
        <v>3755</v>
      </c>
      <c r="K214" s="429"/>
      <c r="L214" s="430">
        <v>1266.0999999999999</v>
      </c>
      <c r="M214" s="62">
        <v>1450</v>
      </c>
      <c r="N214" s="13">
        <v>0.15</v>
      </c>
      <c r="O214" s="14">
        <v>0.05</v>
      </c>
      <c r="P214" s="11">
        <v>4.0000000000000036E-2</v>
      </c>
      <c r="R214" s="87">
        <f>1520*1.1</f>
        <v>1672.0000000000002</v>
      </c>
    </row>
    <row r="215" spans="1:18" ht="57" customHeight="1" thickBot="1">
      <c r="A215" s="689"/>
      <c r="B215" s="141"/>
      <c r="C215" s="283" t="s">
        <v>87</v>
      </c>
      <c r="D215" s="116" t="s">
        <v>113</v>
      </c>
      <c r="E215" s="688"/>
      <c r="F215" s="617"/>
      <c r="G215" s="737"/>
      <c r="H215" s="735"/>
      <c r="I215" s="686"/>
      <c r="J215" s="103">
        <v>3755</v>
      </c>
      <c r="K215" s="429"/>
      <c r="L215" s="430">
        <v>1266.0999999999999</v>
      </c>
      <c r="M215" s="69">
        <v>1450</v>
      </c>
      <c r="N215" s="13">
        <v>0.15</v>
      </c>
      <c r="O215" s="14">
        <v>0.05</v>
      </c>
      <c r="P215" s="11">
        <v>4.0000000000000036E-2</v>
      </c>
      <c r="R215" s="87"/>
    </row>
    <row r="216" spans="1:18" ht="57" customHeight="1" thickBot="1">
      <c r="A216" s="689"/>
      <c r="B216" s="141"/>
      <c r="C216" s="283" t="s">
        <v>85</v>
      </c>
      <c r="D216" s="116" t="s">
        <v>113</v>
      </c>
      <c r="E216" s="688"/>
      <c r="F216" s="617"/>
      <c r="G216" s="737"/>
      <c r="H216" s="735"/>
      <c r="I216" s="686"/>
      <c r="J216" s="103">
        <v>3755</v>
      </c>
      <c r="K216" s="429"/>
      <c r="L216" s="430">
        <v>1266.0999999999999</v>
      </c>
      <c r="M216" s="62">
        <v>1450</v>
      </c>
      <c r="N216" s="13">
        <v>0.15</v>
      </c>
      <c r="O216" s="14">
        <v>0.05</v>
      </c>
      <c r="P216" s="11">
        <v>4.0000000000000036E-2</v>
      </c>
      <c r="R216" s="87"/>
    </row>
    <row r="217" spans="1:18" ht="57" customHeight="1" thickBot="1">
      <c r="A217" s="689"/>
      <c r="B217" s="293"/>
      <c r="C217" s="283" t="s">
        <v>83</v>
      </c>
      <c r="D217" s="116" t="s">
        <v>113</v>
      </c>
      <c r="E217" s="688"/>
      <c r="F217" s="617"/>
      <c r="G217" s="737"/>
      <c r="H217" s="735"/>
      <c r="I217" s="686"/>
      <c r="J217" s="103">
        <v>3755</v>
      </c>
      <c r="K217" s="429"/>
      <c r="L217" s="430">
        <v>1266.0999999999999</v>
      </c>
      <c r="M217" s="62">
        <v>1450</v>
      </c>
      <c r="N217" s="13">
        <v>0.15</v>
      </c>
      <c r="O217" s="14">
        <v>0.05</v>
      </c>
      <c r="P217" s="11">
        <v>4.0000000000000036E-2</v>
      </c>
      <c r="R217" s="87"/>
    </row>
    <row r="218" spans="1:18" ht="57" customHeight="1" thickBot="1">
      <c r="A218" s="609"/>
      <c r="B218" s="294"/>
      <c r="C218" s="375" t="s">
        <v>6</v>
      </c>
      <c r="D218" s="118" t="s">
        <v>113</v>
      </c>
      <c r="E218" s="207" t="s">
        <v>26</v>
      </c>
      <c r="F218" s="618"/>
      <c r="G218" s="196">
        <v>4.8</v>
      </c>
      <c r="H218" s="191">
        <v>1818</v>
      </c>
      <c r="I218" s="194">
        <v>11</v>
      </c>
      <c r="J218" s="202">
        <v>3515</v>
      </c>
      <c r="K218" s="429"/>
      <c r="L218" s="430">
        <v>1423.73</v>
      </c>
      <c r="M218" s="17">
        <v>1600</v>
      </c>
      <c r="N218" s="13">
        <v>0.15</v>
      </c>
      <c r="O218" s="14">
        <v>0.05</v>
      </c>
      <c r="P218" s="11">
        <v>2.0000000000000018E-2</v>
      </c>
      <c r="R218" s="87">
        <f>1709*1.1</f>
        <v>1879.9</v>
      </c>
    </row>
    <row r="219" spans="1:18" s="92" customFormat="1" ht="16.5" thickBot="1">
      <c r="A219" s="597" t="s">
        <v>1</v>
      </c>
      <c r="B219" s="598"/>
      <c r="C219" s="598"/>
      <c r="D219" s="598"/>
      <c r="E219" s="598"/>
      <c r="F219" s="598"/>
      <c r="G219" s="598"/>
      <c r="H219" s="598"/>
      <c r="I219" s="598"/>
      <c r="J219" s="598"/>
      <c r="K219" s="429"/>
      <c r="L219" s="430">
        <v>0</v>
      </c>
      <c r="M219" s="434"/>
      <c r="N219" s="106" t="e">
        <v>#DIV/0!</v>
      </c>
      <c r="O219" s="107" t="e">
        <v>#DIV/0!</v>
      </c>
      <c r="P219" s="105" t="e">
        <v>#DIV/0!</v>
      </c>
      <c r="R219" s="158"/>
    </row>
    <row r="220" spans="1:18" s="92" customFormat="1" ht="15.75" customHeight="1" thickBot="1">
      <c r="A220" s="603" t="s">
        <v>31</v>
      </c>
      <c r="B220" s="604"/>
      <c r="C220" s="604"/>
      <c r="D220" s="604"/>
      <c r="E220" s="604"/>
      <c r="F220" s="604"/>
      <c r="G220" s="604"/>
      <c r="H220" s="604"/>
      <c r="I220" s="604"/>
      <c r="J220" s="604"/>
      <c r="K220" s="429"/>
      <c r="L220" s="430">
        <v>0</v>
      </c>
      <c r="M220" s="435"/>
      <c r="N220" s="106" t="e">
        <v>#DIV/0!</v>
      </c>
      <c r="O220" s="107" t="e">
        <v>#DIV/0!</v>
      </c>
      <c r="P220" s="105" t="e">
        <v>#DIV/0!</v>
      </c>
      <c r="R220" s="158"/>
    </row>
    <row r="221" spans="1:18" s="92" customFormat="1" ht="53.25" customHeight="1" thickBot="1">
      <c r="A221" s="362">
        <v>1</v>
      </c>
      <c r="B221" s="363"/>
      <c r="C221" s="206" t="s">
        <v>6</v>
      </c>
      <c r="D221" s="127" t="s">
        <v>113</v>
      </c>
      <c r="E221" s="199" t="s">
        <v>19</v>
      </c>
      <c r="F221" s="376" t="s">
        <v>55</v>
      </c>
      <c r="G221" s="195">
        <v>8</v>
      </c>
      <c r="H221" s="189">
        <v>1702</v>
      </c>
      <c r="I221" s="192">
        <v>11</v>
      </c>
      <c r="J221" s="103">
        <v>2305</v>
      </c>
      <c r="K221" s="429"/>
      <c r="L221" s="430">
        <v>751.69</v>
      </c>
      <c r="M221" s="28">
        <v>845</v>
      </c>
      <c r="N221" s="106">
        <v>0.2</v>
      </c>
      <c r="O221" s="107">
        <v>0.1</v>
      </c>
      <c r="P221" s="105">
        <v>0.02</v>
      </c>
      <c r="R221" s="158">
        <f>902*1.1</f>
        <v>992.2</v>
      </c>
    </row>
    <row r="222" spans="1:18" ht="16.5" thickBot="1">
      <c r="A222" s="597" t="s">
        <v>72</v>
      </c>
      <c r="B222" s="598"/>
      <c r="C222" s="598"/>
      <c r="D222" s="598"/>
      <c r="E222" s="598"/>
      <c r="F222" s="598"/>
      <c r="G222" s="598"/>
      <c r="H222" s="598"/>
      <c r="I222" s="598"/>
      <c r="J222" s="598"/>
      <c r="K222" s="429"/>
      <c r="L222" s="430">
        <v>0</v>
      </c>
      <c r="M222" s="436"/>
      <c r="N222" s="13" t="e">
        <v>#DIV/0!</v>
      </c>
      <c r="O222" s="14" t="e">
        <v>#DIV/0!</v>
      </c>
      <c r="P222" s="11" t="e">
        <v>#DIV/0!</v>
      </c>
      <c r="R222" s="87"/>
    </row>
    <row r="223" spans="1:18" ht="15.75" thickBot="1">
      <c r="A223" s="649" t="s">
        <v>77</v>
      </c>
      <c r="B223" s="650"/>
      <c r="C223" s="650"/>
      <c r="D223" s="650"/>
      <c r="E223" s="650"/>
      <c r="F223" s="650"/>
      <c r="G223" s="650"/>
      <c r="H223" s="650"/>
      <c r="I223" s="650"/>
      <c r="J223" s="650"/>
      <c r="K223" s="429"/>
      <c r="L223" s="430">
        <v>0</v>
      </c>
      <c r="M223" s="437"/>
      <c r="N223" s="13" t="e">
        <v>#DIV/0!</v>
      </c>
      <c r="O223" s="14" t="e">
        <v>#DIV/0!</v>
      </c>
      <c r="P223" s="11" t="e">
        <v>#DIV/0!</v>
      </c>
      <c r="R223" s="87"/>
    </row>
    <row r="224" spans="1:18" ht="51" customHeight="1">
      <c r="A224" s="409">
        <v>1</v>
      </c>
      <c r="B224" s="506"/>
      <c r="C224" s="121" t="s">
        <v>73</v>
      </c>
      <c r="D224" s="127" t="s">
        <v>113</v>
      </c>
      <c r="E224" s="422" t="s">
        <v>74</v>
      </c>
      <c r="F224" s="442"/>
      <c r="G224" s="152">
        <v>120</v>
      </c>
      <c r="H224" s="128">
        <v>1260</v>
      </c>
      <c r="I224" s="121">
        <v>15</v>
      </c>
      <c r="J224" s="566">
        <v>110</v>
      </c>
      <c r="K224" s="429"/>
      <c r="L224" s="430">
        <v>38.979999999999997</v>
      </c>
      <c r="M224" s="187">
        <v>46</v>
      </c>
      <c r="N224" s="13">
        <v>0.11</v>
      </c>
      <c r="O224" s="14">
        <v>0.06</v>
      </c>
      <c r="P224" s="11">
        <v>0.02</v>
      </c>
      <c r="R224" s="87">
        <f>47*1.1</f>
        <v>51.7</v>
      </c>
    </row>
    <row r="225" spans="1:18" ht="51.75" customHeight="1" thickBot="1">
      <c r="A225" s="410">
        <v>2</v>
      </c>
      <c r="B225" s="487"/>
      <c r="C225" s="126" t="s">
        <v>75</v>
      </c>
      <c r="D225" s="118" t="s">
        <v>113</v>
      </c>
      <c r="E225" s="424" t="s">
        <v>74</v>
      </c>
      <c r="F225" s="443"/>
      <c r="G225" s="151">
        <v>120</v>
      </c>
      <c r="H225" s="125" t="s">
        <v>76</v>
      </c>
      <c r="I225" s="126">
        <v>22</v>
      </c>
      <c r="J225" s="565">
        <v>111</v>
      </c>
      <c r="K225" s="438"/>
      <c r="L225" s="439">
        <v>38.14</v>
      </c>
      <c r="M225" s="188">
        <v>45</v>
      </c>
      <c r="N225" s="13">
        <v>0.11</v>
      </c>
      <c r="O225" s="14">
        <v>0.08</v>
      </c>
      <c r="P225" s="11">
        <v>0.02</v>
      </c>
      <c r="R225" s="87">
        <f>46*1.1</f>
        <v>50.6</v>
      </c>
    </row>
    <row r="227" spans="1:18" s="504" customFormat="1" ht="22.5" customHeight="1">
      <c r="A227" s="507"/>
      <c r="B227" s="502" t="s">
        <v>148</v>
      </c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3"/>
      <c r="R227" s="505"/>
    </row>
  </sheetData>
  <sheetProtection formatCells="0" formatColumns="0" formatRows="0" insertRows="0" insertHyperlinks="0" deleteColumns="0" deleteRows="0" sort="0" autoFilter="0" pivotTables="0"/>
  <mergeCells count="175">
    <mergeCell ref="A189:J189"/>
    <mergeCell ref="E126:E128"/>
    <mergeCell ref="E130:E131"/>
    <mergeCell ref="B130:B131"/>
    <mergeCell ref="C134:C135"/>
    <mergeCell ref="C132:C133"/>
    <mergeCell ref="B206:B208"/>
    <mergeCell ref="A197:A208"/>
    <mergeCell ref="B197:B199"/>
    <mergeCell ref="C146:C148"/>
    <mergeCell ref="B136:B137"/>
    <mergeCell ref="A163:J163"/>
    <mergeCell ref="B200:B202"/>
    <mergeCell ref="C200:C202"/>
    <mergeCell ref="B203:B205"/>
    <mergeCell ref="B149:B150"/>
    <mergeCell ref="A194:J194"/>
    <mergeCell ref="C149:C150"/>
    <mergeCell ref="A192:M192"/>
    <mergeCell ref="F178:F183"/>
    <mergeCell ref="A165:J165"/>
    <mergeCell ref="H166:H176"/>
    <mergeCell ref="A161:J161"/>
    <mergeCell ref="A220:J220"/>
    <mergeCell ref="A185:A188"/>
    <mergeCell ref="A219:J219"/>
    <mergeCell ref="B193:D193"/>
    <mergeCell ref="H178:H183"/>
    <mergeCell ref="F210:F211"/>
    <mergeCell ref="H214:H217"/>
    <mergeCell ref="G214:G217"/>
    <mergeCell ref="E166:E176"/>
    <mergeCell ref="A177:J177"/>
    <mergeCell ref="A166:A176"/>
    <mergeCell ref="A184:J184"/>
    <mergeCell ref="I178:I183"/>
    <mergeCell ref="G166:G176"/>
    <mergeCell ref="G178:G183"/>
    <mergeCell ref="A178:A183"/>
    <mergeCell ref="I166:I176"/>
    <mergeCell ref="E197:E208"/>
    <mergeCell ref="C203:C205"/>
    <mergeCell ref="E178:E183"/>
    <mergeCell ref="F185:F188"/>
    <mergeCell ref="A209:J209"/>
    <mergeCell ref="C197:C199"/>
    <mergeCell ref="F166:F176"/>
    <mergeCell ref="A125:J125"/>
    <mergeCell ref="C136:C137"/>
    <mergeCell ref="C68:C69"/>
    <mergeCell ref="C82:C83"/>
    <mergeCell ref="B72:B73"/>
    <mergeCell ref="C100:C101"/>
    <mergeCell ref="B68:B69"/>
    <mergeCell ref="C70:C71"/>
    <mergeCell ref="C92:C93"/>
    <mergeCell ref="C80:C81"/>
    <mergeCell ref="C96:C97"/>
    <mergeCell ref="C78:C79"/>
    <mergeCell ref="A105:A111"/>
    <mergeCell ref="F105:F111"/>
    <mergeCell ref="A126:A143"/>
    <mergeCell ref="C90:C91"/>
    <mergeCell ref="C86:C87"/>
    <mergeCell ref="C76:C77"/>
    <mergeCell ref="E134:E135"/>
    <mergeCell ref="A102:J102"/>
    <mergeCell ref="C98:C99"/>
    <mergeCell ref="F113:F114"/>
    <mergeCell ref="F116:F119"/>
    <mergeCell ref="E105:E111"/>
    <mergeCell ref="C151:C152"/>
    <mergeCell ref="F146:F157"/>
    <mergeCell ref="A120:J120"/>
    <mergeCell ref="E136:E137"/>
    <mergeCell ref="B146:B148"/>
    <mergeCell ref="A146:A157"/>
    <mergeCell ref="B151:B152"/>
    <mergeCell ref="B162:D162"/>
    <mergeCell ref="A39:J39"/>
    <mergeCell ref="A51:A52"/>
    <mergeCell ref="F54:F64"/>
    <mergeCell ref="E44:E49"/>
    <mergeCell ref="A113:A114"/>
    <mergeCell ref="A115:J115"/>
    <mergeCell ref="A116:A119"/>
    <mergeCell ref="E116:E119"/>
    <mergeCell ref="E51:E52"/>
    <mergeCell ref="A43:J43"/>
    <mergeCell ref="A40:A42"/>
    <mergeCell ref="A67:J67"/>
    <mergeCell ref="A54:A64"/>
    <mergeCell ref="E54:E57"/>
    <mergeCell ref="E62:E64"/>
    <mergeCell ref="F51:F52"/>
    <mergeCell ref="A53:J53"/>
    <mergeCell ref="E58:E61"/>
    <mergeCell ref="A44:A49"/>
    <mergeCell ref="E113:E114"/>
    <mergeCell ref="F214:F218"/>
    <mergeCell ref="E132:E133"/>
    <mergeCell ref="C72:C73"/>
    <mergeCell ref="A158:J158"/>
    <mergeCell ref="B126:B128"/>
    <mergeCell ref="C126:C129"/>
    <mergeCell ref="A145:J145"/>
    <mergeCell ref="B134:B135"/>
    <mergeCell ref="C153:C154"/>
    <mergeCell ref="I214:I217"/>
    <mergeCell ref="A213:J213"/>
    <mergeCell ref="E214:E217"/>
    <mergeCell ref="A214:A218"/>
    <mergeCell ref="A212:J212"/>
    <mergeCell ref="C206:C208"/>
    <mergeCell ref="A210:A211"/>
    <mergeCell ref="E68:E73"/>
    <mergeCell ref="B70:B71"/>
    <mergeCell ref="A121:A124"/>
    <mergeCell ref="C84:C85"/>
    <mergeCell ref="A6:J6"/>
    <mergeCell ref="A223:J223"/>
    <mergeCell ref="C88:C89"/>
    <mergeCell ref="C74:C75"/>
    <mergeCell ref="E74:E101"/>
    <mergeCell ref="A104:J104"/>
    <mergeCell ref="A112:J112"/>
    <mergeCell ref="C94:C95"/>
    <mergeCell ref="C130:C131"/>
    <mergeCell ref="A196:J196"/>
    <mergeCell ref="A50:J50"/>
    <mergeCell ref="F34:F38"/>
    <mergeCell ref="F44:F49"/>
    <mergeCell ref="F40:F42"/>
    <mergeCell ref="A29:A32"/>
    <mergeCell ref="A68:A101"/>
    <mergeCell ref="A222:J222"/>
    <mergeCell ref="E40:E42"/>
    <mergeCell ref="A65:J65"/>
    <mergeCell ref="H21:H27"/>
    <mergeCell ref="U1:X1"/>
    <mergeCell ref="U2:X2"/>
    <mergeCell ref="U3:X3"/>
    <mergeCell ref="U4:X4"/>
    <mergeCell ref="A5:I5"/>
    <mergeCell ref="M25:M27"/>
    <mergeCell ref="F15:F27"/>
    <mergeCell ref="A34:A38"/>
    <mergeCell ref="E34:E38"/>
    <mergeCell ref="J25:J27"/>
    <mergeCell ref="M16:M18"/>
    <mergeCell ref="A28:J28"/>
    <mergeCell ref="F29:F32"/>
    <mergeCell ref="H29:H32"/>
    <mergeCell ref="G29:G32"/>
    <mergeCell ref="I29:I32"/>
    <mergeCell ref="E29:E32"/>
    <mergeCell ref="L16:L18"/>
    <mergeCell ref="L25:L27"/>
    <mergeCell ref="A33:J33"/>
    <mergeCell ref="E15:E20"/>
    <mergeCell ref="E21:E27"/>
    <mergeCell ref="G15:G20"/>
    <mergeCell ref="H15:H20"/>
    <mergeCell ref="I15:I20"/>
    <mergeCell ref="G21:G27"/>
    <mergeCell ref="I21:I27"/>
    <mergeCell ref="B7:D7"/>
    <mergeCell ref="A8:J8"/>
    <mergeCell ref="A11:J11"/>
    <mergeCell ref="A9:J9"/>
    <mergeCell ref="E12:E13"/>
    <mergeCell ref="A12:A13"/>
    <mergeCell ref="A14:J14"/>
    <mergeCell ref="J16:J24"/>
    <mergeCell ref="A15:A27"/>
  </mergeCells>
  <pageMargins left="0.25" right="0.25" top="0.75" bottom="0.75" header="0.3" footer="0.3"/>
  <pageSetup paperSize="9" scale="2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0</xdr:colOff>
                <xdr:row>95</xdr:row>
                <xdr:rowOff>9525</xdr:rowOff>
              </from>
              <to>
                <xdr:col>2</xdr:col>
                <xdr:colOff>28575</xdr:colOff>
                <xdr:row>96</xdr:row>
                <xdr:rowOff>361950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5">
            <anchor moveWithCells="1">
              <from>
                <xdr:col>1</xdr:col>
                <xdr:colOff>0</xdr:colOff>
                <xdr:row>110</xdr:row>
                <xdr:rowOff>9525</xdr:rowOff>
              </from>
              <to>
                <xdr:col>2</xdr:col>
                <xdr:colOff>0</xdr:colOff>
                <xdr:row>111</xdr:row>
                <xdr:rowOff>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10"/>
  <sheetViews>
    <sheetView topLeftCell="A4" workbookViewId="0">
      <selection activeCell="T11" sqref="T11"/>
    </sheetView>
  </sheetViews>
  <sheetFormatPr defaultRowHeight="15"/>
  <sheetData>
    <row r="4" spans="1:17" ht="18.75">
      <c r="A4" s="80"/>
      <c r="B4" s="92"/>
      <c r="C4" s="92"/>
      <c r="D4" s="81"/>
      <c r="E4" s="92"/>
      <c r="F4" s="92"/>
      <c r="G4" s="92"/>
      <c r="H4" s="92"/>
      <c r="I4" s="92"/>
      <c r="J4" s="92"/>
      <c r="K4" s="495"/>
      <c r="L4" s="493"/>
      <c r="M4" s="809" t="s">
        <v>144</v>
      </c>
      <c r="N4" s="809"/>
      <c r="O4" s="809"/>
      <c r="P4" s="809"/>
      <c r="Q4" s="92"/>
    </row>
    <row r="5" spans="1:17" ht="18.75">
      <c r="A5" s="80"/>
      <c r="B5" s="92"/>
      <c r="C5" s="92"/>
      <c r="D5" s="81"/>
      <c r="E5" s="92"/>
      <c r="F5" s="92"/>
      <c r="G5" s="92"/>
      <c r="H5" s="92"/>
      <c r="I5" s="92"/>
      <c r="J5" s="92"/>
      <c r="K5" s="493"/>
      <c r="L5" s="494"/>
      <c r="M5" s="810" t="s">
        <v>147</v>
      </c>
      <c r="N5" s="810"/>
      <c r="O5" s="810"/>
      <c r="P5" s="810"/>
      <c r="Q5" s="92"/>
    </row>
    <row r="6" spans="1:17" ht="18.75">
      <c r="A6" s="80"/>
      <c r="B6" s="92"/>
      <c r="C6" s="92"/>
      <c r="D6" s="81"/>
      <c r="E6" s="92"/>
      <c r="F6" s="92"/>
      <c r="G6" s="92"/>
      <c r="H6" s="92"/>
      <c r="I6" s="92"/>
      <c r="J6" s="92"/>
      <c r="K6" s="494"/>
      <c r="L6" s="494"/>
      <c r="M6" s="810" t="s">
        <v>146</v>
      </c>
      <c r="N6" s="810"/>
      <c r="O6" s="810"/>
      <c r="P6" s="810"/>
      <c r="Q6" s="92"/>
    </row>
    <row r="7" spans="1:17" ht="18.75">
      <c r="A7" s="80"/>
      <c r="B7" s="92"/>
      <c r="C7" s="92"/>
      <c r="D7" s="81"/>
      <c r="E7" s="92"/>
      <c r="F7" s="92"/>
      <c r="G7" s="92"/>
      <c r="H7" s="92"/>
      <c r="I7" s="92"/>
      <c r="J7" s="92"/>
      <c r="K7" s="494"/>
      <c r="L7" s="494"/>
      <c r="M7" s="810" t="s">
        <v>145</v>
      </c>
      <c r="N7" s="810"/>
      <c r="O7" s="810"/>
      <c r="P7" s="810"/>
      <c r="Q7" s="92"/>
    </row>
    <row r="8" spans="1:17" ht="18.75">
      <c r="A8" s="647"/>
      <c r="B8" s="647"/>
      <c r="C8" s="647"/>
      <c r="D8" s="647"/>
      <c r="E8" s="647"/>
      <c r="F8" s="647"/>
      <c r="G8" s="647"/>
      <c r="H8" s="647"/>
      <c r="I8" s="647"/>
      <c r="J8" s="647"/>
      <c r="K8" s="494"/>
      <c r="L8" s="494"/>
      <c r="M8" s="494"/>
      <c r="N8" s="494"/>
      <c r="O8" s="92"/>
      <c r="P8" s="92"/>
      <c r="Q8" s="92"/>
    </row>
    <row r="9" spans="1:17" ht="16.5" thickBot="1">
      <c r="A9" s="648" t="s">
        <v>130</v>
      </c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92"/>
      <c r="P9" s="92"/>
      <c r="Q9" s="92"/>
    </row>
    <row r="10" spans="1:17" ht="123" thickBot="1">
      <c r="A10" s="93" t="s">
        <v>0</v>
      </c>
      <c r="B10" s="594" t="s">
        <v>5</v>
      </c>
      <c r="C10" s="595"/>
      <c r="D10" s="596"/>
      <c r="E10" s="94" t="s">
        <v>7</v>
      </c>
      <c r="F10" s="94" t="s">
        <v>16</v>
      </c>
      <c r="G10" s="94" t="s">
        <v>32</v>
      </c>
      <c r="H10" s="95" t="s">
        <v>8</v>
      </c>
      <c r="I10" s="94" t="s">
        <v>25</v>
      </c>
      <c r="J10" s="96" t="s">
        <v>33</v>
      </c>
      <c r="K10" s="94" t="s">
        <v>56</v>
      </c>
      <c r="L10" s="95" t="s">
        <v>82</v>
      </c>
      <c r="M10" s="94" t="s">
        <v>53</v>
      </c>
      <c r="N10" s="97" t="s">
        <v>54</v>
      </c>
      <c r="O10" s="92">
        <v>1.05</v>
      </c>
      <c r="P10" s="94" t="s">
        <v>119</v>
      </c>
      <c r="Q10" s="94" t="s">
        <v>120</v>
      </c>
    </row>
    <row r="11" spans="1:17" ht="16.5" thickBot="1">
      <c r="A11" s="597" t="s">
        <v>139</v>
      </c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9"/>
      <c r="O11" s="153"/>
      <c r="P11" s="154">
        <v>0</v>
      </c>
      <c r="Q11" s="68"/>
    </row>
    <row r="12" spans="1:17" ht="15.75" thickBot="1">
      <c r="A12" s="603" t="s">
        <v>3</v>
      </c>
      <c r="B12" s="604"/>
      <c r="C12" s="604"/>
      <c r="D12" s="604"/>
      <c r="E12" s="604"/>
      <c r="F12" s="604"/>
      <c r="G12" s="604"/>
      <c r="H12" s="604"/>
      <c r="I12" s="604"/>
      <c r="J12" s="604"/>
      <c r="K12" s="604"/>
      <c r="L12" s="604"/>
      <c r="M12" s="604"/>
      <c r="N12" s="605"/>
      <c r="O12" s="8"/>
      <c r="P12" s="8"/>
      <c r="Q12" s="9"/>
    </row>
    <row r="13" spans="1:17" ht="75.75" thickBot="1">
      <c r="A13" s="168">
        <v>1</v>
      </c>
      <c r="B13" s="455"/>
      <c r="C13" s="99" t="s">
        <v>83</v>
      </c>
      <c r="D13" s="100" t="s">
        <v>78</v>
      </c>
      <c r="E13" s="101" t="s">
        <v>11</v>
      </c>
      <c r="F13" s="376">
        <v>70</v>
      </c>
      <c r="G13" s="148">
        <v>9.42</v>
      </c>
      <c r="H13" s="129">
        <v>1499</v>
      </c>
      <c r="I13" s="236">
        <v>13</v>
      </c>
      <c r="J13" s="102">
        <f>M13*1.3</f>
        <v>1605.5</v>
      </c>
      <c r="K13" s="103">
        <f>J13*0.95</f>
        <v>1525.2249999999999</v>
      </c>
      <c r="L13" s="91">
        <f>M13*1.05</f>
        <v>1296.75</v>
      </c>
      <c r="M13" s="103">
        <f>ROUND(1176*1.05,0)</f>
        <v>1235</v>
      </c>
      <c r="N13" s="104">
        <f>ROUND(M13/1.2,2)</f>
        <v>1029.17</v>
      </c>
      <c r="O13" s="153"/>
      <c r="P13" s="154">
        <v>873.73</v>
      </c>
      <c r="Q13" s="278">
        <v>1001</v>
      </c>
    </row>
    <row r="14" spans="1:17" ht="15.75" thickBot="1">
      <c r="A14" s="600" t="s">
        <v>23</v>
      </c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2"/>
      <c r="O14" s="153"/>
      <c r="P14" s="154">
        <v>0</v>
      </c>
      <c r="Q14" s="92"/>
    </row>
    <row r="15" spans="1:17" ht="19.5" thickBot="1">
      <c r="A15" s="608">
        <v>2</v>
      </c>
      <c r="B15" s="453"/>
      <c r="C15" s="393" t="s">
        <v>6</v>
      </c>
      <c r="D15" s="119" t="s">
        <v>78</v>
      </c>
      <c r="E15" s="606" t="s">
        <v>24</v>
      </c>
      <c r="F15" s="374">
        <v>60</v>
      </c>
      <c r="G15" s="306">
        <v>13.39</v>
      </c>
      <c r="H15" s="286">
        <v>1734</v>
      </c>
      <c r="I15" s="131">
        <v>11</v>
      </c>
      <c r="J15" s="214">
        <f>M15*1.1</f>
        <v>985.60000000000014</v>
      </c>
      <c r="K15" s="215">
        <f>J15*0.97</f>
        <v>956.03200000000015</v>
      </c>
      <c r="L15" s="216">
        <f>M15*1.03</f>
        <v>922.88</v>
      </c>
      <c r="M15" s="215">
        <f>ROUND(853*1.05,0)</f>
        <v>896</v>
      </c>
      <c r="N15" s="217">
        <f>ROUND(M15/1.2,2)</f>
        <v>746.67</v>
      </c>
      <c r="O15" s="153"/>
      <c r="P15" s="154">
        <v>591.53</v>
      </c>
      <c r="Q15" s="15">
        <v>665</v>
      </c>
    </row>
    <row r="16" spans="1:17" ht="45.75" thickBot="1">
      <c r="A16" s="609"/>
      <c r="B16" s="454"/>
      <c r="C16" s="395" t="s">
        <v>85</v>
      </c>
      <c r="D16" s="124" t="s">
        <v>78</v>
      </c>
      <c r="E16" s="607"/>
      <c r="F16" s="375">
        <v>60</v>
      </c>
      <c r="G16" s="307">
        <v>13.39</v>
      </c>
      <c r="H16" s="288">
        <v>1734</v>
      </c>
      <c r="I16" s="167">
        <v>11</v>
      </c>
      <c r="J16" s="220">
        <f>M16*1.3</f>
        <v>1439.1000000000001</v>
      </c>
      <c r="K16" s="4">
        <f>J16*0.95</f>
        <v>1367.145</v>
      </c>
      <c r="L16" s="221">
        <f>M16*1.05</f>
        <v>1162.3500000000001</v>
      </c>
      <c r="M16" s="4">
        <f>ROUND(1054*1.05,0)</f>
        <v>1107</v>
      </c>
      <c r="N16" s="222">
        <f>ROUND(M16/1.2,2)</f>
        <v>922.5</v>
      </c>
      <c r="O16" s="153"/>
      <c r="P16" s="154">
        <v>782.2</v>
      </c>
      <c r="Q16" s="15">
        <v>896</v>
      </c>
    </row>
    <row r="17" spans="1:17" ht="15.75" thickBot="1">
      <c r="A17" s="603" t="s">
        <v>80</v>
      </c>
      <c r="B17" s="604"/>
      <c r="C17" s="604"/>
      <c r="D17" s="604"/>
      <c r="E17" s="604"/>
      <c r="F17" s="604"/>
      <c r="G17" s="604"/>
      <c r="H17" s="604"/>
      <c r="I17" s="604"/>
      <c r="J17" s="604"/>
      <c r="K17" s="604"/>
      <c r="L17" s="604"/>
      <c r="M17" s="604"/>
      <c r="N17" s="605"/>
      <c r="O17" s="153"/>
      <c r="P17" s="154">
        <v>0</v>
      </c>
      <c r="Q17" s="92"/>
    </row>
    <row r="18" spans="1:17" ht="19.5" thickBot="1">
      <c r="A18" s="613">
        <v>3</v>
      </c>
      <c r="B18" s="446"/>
      <c r="C18" s="254" t="s">
        <v>6</v>
      </c>
      <c r="D18" s="240" t="s">
        <v>78</v>
      </c>
      <c r="E18" s="805" t="s">
        <v>65</v>
      </c>
      <c r="F18" s="616">
        <v>60</v>
      </c>
      <c r="G18" s="806">
        <v>13.44</v>
      </c>
      <c r="H18" s="807">
        <v>1880</v>
      </c>
      <c r="I18" s="808">
        <v>10</v>
      </c>
      <c r="J18" s="103">
        <f>M18*1.1</f>
        <v>751.30000000000007</v>
      </c>
      <c r="K18" s="103">
        <f>J18*0.97</f>
        <v>728.76100000000008</v>
      </c>
      <c r="L18" s="91">
        <f>M18*1.03</f>
        <v>703.49</v>
      </c>
      <c r="M18" s="103">
        <f>ROUND(650*1.05,0)</f>
        <v>683</v>
      </c>
      <c r="N18" s="104">
        <f>ROUND(M18/1.2,2)</f>
        <v>569.16999999999996</v>
      </c>
      <c r="O18" s="153"/>
      <c r="P18" s="154">
        <v>450.85</v>
      </c>
      <c r="Q18" s="275">
        <v>507</v>
      </c>
    </row>
    <row r="19" spans="1:17" ht="18.75">
      <c r="A19" s="614"/>
      <c r="B19" s="456"/>
      <c r="C19" s="320" t="s">
        <v>14</v>
      </c>
      <c r="D19" s="211" t="s">
        <v>78</v>
      </c>
      <c r="E19" s="797"/>
      <c r="F19" s="617"/>
      <c r="G19" s="799"/>
      <c r="H19" s="801"/>
      <c r="I19" s="803"/>
      <c r="J19" s="610">
        <f>ROUND(M19*1.15,0)</f>
        <v>909</v>
      </c>
      <c r="K19" s="610">
        <f>J19*0.95</f>
        <v>863.55</v>
      </c>
      <c r="L19" s="610">
        <f>M19*1.04</f>
        <v>821.6</v>
      </c>
      <c r="M19" s="664">
        <f>ROUND(752*1.05,0)</f>
        <v>790</v>
      </c>
      <c r="N19" s="661">
        <f>ROUND(M19/1.2,2)</f>
        <v>658.33</v>
      </c>
      <c r="O19" s="153"/>
      <c r="P19" s="638">
        <v>521.19000000000005</v>
      </c>
      <c r="Q19" s="610">
        <v>586</v>
      </c>
    </row>
    <row r="20" spans="1:17" ht="18.75">
      <c r="A20" s="614"/>
      <c r="B20" s="458"/>
      <c r="C20" s="318" t="s">
        <v>47</v>
      </c>
      <c r="D20" s="175" t="s">
        <v>78</v>
      </c>
      <c r="E20" s="797"/>
      <c r="F20" s="617"/>
      <c r="G20" s="799"/>
      <c r="H20" s="801"/>
      <c r="I20" s="803"/>
      <c r="J20" s="611"/>
      <c r="K20" s="611"/>
      <c r="L20" s="611"/>
      <c r="M20" s="662"/>
      <c r="N20" s="622"/>
      <c r="O20" s="153"/>
      <c r="P20" s="638"/>
      <c r="Q20" s="611"/>
    </row>
    <row r="21" spans="1:17" ht="18.75">
      <c r="A21" s="614"/>
      <c r="B21" s="447"/>
      <c r="C21" s="318" t="s">
        <v>44</v>
      </c>
      <c r="D21" s="175" t="s">
        <v>78</v>
      </c>
      <c r="E21" s="797"/>
      <c r="F21" s="617"/>
      <c r="G21" s="799"/>
      <c r="H21" s="801"/>
      <c r="I21" s="803"/>
      <c r="J21" s="611"/>
      <c r="K21" s="611"/>
      <c r="L21" s="611"/>
      <c r="M21" s="662"/>
      <c r="N21" s="622"/>
      <c r="O21" s="153"/>
      <c r="P21" s="638"/>
      <c r="Q21" s="611"/>
    </row>
    <row r="22" spans="1:17" ht="18.75">
      <c r="A22" s="614"/>
      <c r="B22" s="449"/>
      <c r="C22" s="318" t="s">
        <v>49</v>
      </c>
      <c r="D22" s="175" t="s">
        <v>78</v>
      </c>
      <c r="E22" s="797"/>
      <c r="F22" s="617"/>
      <c r="G22" s="799"/>
      <c r="H22" s="801"/>
      <c r="I22" s="803"/>
      <c r="J22" s="611"/>
      <c r="K22" s="611"/>
      <c r="L22" s="611"/>
      <c r="M22" s="662"/>
      <c r="N22" s="622"/>
      <c r="O22" s="153"/>
      <c r="P22" s="638"/>
      <c r="Q22" s="611"/>
    </row>
    <row r="23" spans="1:17" ht="18.75">
      <c r="A23" s="614"/>
      <c r="B23" s="450"/>
      <c r="C23" s="318" t="s">
        <v>50</v>
      </c>
      <c r="D23" s="175" t="s">
        <v>78</v>
      </c>
      <c r="E23" s="797"/>
      <c r="F23" s="617"/>
      <c r="G23" s="799"/>
      <c r="H23" s="801"/>
      <c r="I23" s="803"/>
      <c r="J23" s="611"/>
      <c r="K23" s="611"/>
      <c r="L23" s="611"/>
      <c r="M23" s="662"/>
      <c r="N23" s="622"/>
      <c r="O23" s="153"/>
      <c r="P23" s="638"/>
      <c r="Q23" s="611"/>
    </row>
    <row r="24" spans="1:17" ht="18.75">
      <c r="A24" s="614"/>
      <c r="B24" s="451"/>
      <c r="C24" s="318" t="s">
        <v>51</v>
      </c>
      <c r="D24" s="175" t="s">
        <v>78</v>
      </c>
      <c r="E24" s="797" t="s">
        <v>66</v>
      </c>
      <c r="F24" s="617"/>
      <c r="G24" s="799">
        <v>11.4</v>
      </c>
      <c r="H24" s="801">
        <v>1606</v>
      </c>
      <c r="I24" s="803">
        <v>12</v>
      </c>
      <c r="J24" s="611"/>
      <c r="K24" s="611"/>
      <c r="L24" s="611"/>
      <c r="M24" s="662"/>
      <c r="N24" s="622"/>
      <c r="O24" s="153"/>
      <c r="P24" s="638"/>
      <c r="Q24" s="611"/>
    </row>
    <row r="25" spans="1:17" ht="18.75">
      <c r="A25" s="614"/>
      <c r="B25" s="448"/>
      <c r="C25" s="318" t="s">
        <v>52</v>
      </c>
      <c r="D25" s="175" t="s">
        <v>78</v>
      </c>
      <c r="E25" s="797"/>
      <c r="F25" s="617"/>
      <c r="G25" s="799"/>
      <c r="H25" s="801"/>
      <c r="I25" s="803"/>
      <c r="J25" s="611"/>
      <c r="K25" s="611"/>
      <c r="L25" s="611"/>
      <c r="M25" s="662"/>
      <c r="N25" s="622"/>
      <c r="O25" s="153"/>
      <c r="P25" s="638"/>
      <c r="Q25" s="611"/>
    </row>
    <row r="26" spans="1:17" ht="19.5" thickBot="1">
      <c r="A26" s="614"/>
      <c r="B26" s="452"/>
      <c r="C26" s="318" t="s">
        <v>38</v>
      </c>
      <c r="D26" s="175" t="s">
        <v>78</v>
      </c>
      <c r="E26" s="797"/>
      <c r="F26" s="617"/>
      <c r="G26" s="799"/>
      <c r="H26" s="801"/>
      <c r="I26" s="803"/>
      <c r="J26" s="611"/>
      <c r="K26" s="611"/>
      <c r="L26" s="611"/>
      <c r="M26" s="662"/>
      <c r="N26" s="622"/>
      <c r="O26" s="153"/>
      <c r="P26" s="638"/>
      <c r="Q26" s="612"/>
    </row>
    <row r="27" spans="1:17" ht="19.5" thickBot="1">
      <c r="A27" s="614"/>
      <c r="B27" s="460"/>
      <c r="C27" s="310" t="s">
        <v>48</v>
      </c>
      <c r="D27" s="210" t="s">
        <v>78</v>
      </c>
      <c r="E27" s="797"/>
      <c r="F27" s="617"/>
      <c r="G27" s="799"/>
      <c r="H27" s="801"/>
      <c r="I27" s="803"/>
      <c r="J27" s="612"/>
      <c r="K27" s="612"/>
      <c r="L27" s="612"/>
      <c r="M27" s="663"/>
      <c r="N27" s="623"/>
      <c r="O27" s="153"/>
      <c r="P27" s="154">
        <v>726.27</v>
      </c>
      <c r="Q27" s="17">
        <v>816</v>
      </c>
    </row>
    <row r="28" spans="1:17" ht="60">
      <c r="A28" s="614"/>
      <c r="B28" s="459"/>
      <c r="C28" s="317" t="s">
        <v>86</v>
      </c>
      <c r="D28" s="241" t="s">
        <v>78</v>
      </c>
      <c r="E28" s="797"/>
      <c r="F28" s="617"/>
      <c r="G28" s="799"/>
      <c r="H28" s="801"/>
      <c r="I28" s="803"/>
      <c r="J28" s="610">
        <f>M28*1.3</f>
        <v>1480.7</v>
      </c>
      <c r="K28" s="611">
        <f>J28*0.95</f>
        <v>1406.665</v>
      </c>
      <c r="L28" s="611">
        <f>M28*1.05</f>
        <v>1195.95</v>
      </c>
      <c r="M28" s="662">
        <f>ROUND(1085*1.05,0)</f>
        <v>1139</v>
      </c>
      <c r="N28" s="622">
        <f>ROUND(M28/1.2,2)</f>
        <v>949.17</v>
      </c>
      <c r="O28" s="153"/>
      <c r="P28" s="638">
        <v>805.08</v>
      </c>
      <c r="Q28" s="610">
        <v>922</v>
      </c>
    </row>
    <row r="29" spans="1:17" ht="45">
      <c r="A29" s="614"/>
      <c r="B29" s="457"/>
      <c r="C29" s="233" t="s">
        <v>85</v>
      </c>
      <c r="D29" s="176" t="s">
        <v>78</v>
      </c>
      <c r="E29" s="797"/>
      <c r="F29" s="617"/>
      <c r="G29" s="799"/>
      <c r="H29" s="801"/>
      <c r="I29" s="803"/>
      <c r="J29" s="611"/>
      <c r="K29" s="611"/>
      <c r="L29" s="611"/>
      <c r="M29" s="662"/>
      <c r="N29" s="622"/>
      <c r="O29" s="153"/>
      <c r="P29" s="638"/>
      <c r="Q29" s="611"/>
    </row>
    <row r="30" spans="1:17" ht="60.75" thickBot="1">
      <c r="A30" s="615"/>
      <c r="B30" s="461"/>
      <c r="C30" s="314" t="s">
        <v>87</v>
      </c>
      <c r="D30" s="242" t="s">
        <v>78</v>
      </c>
      <c r="E30" s="798"/>
      <c r="F30" s="618"/>
      <c r="G30" s="800"/>
      <c r="H30" s="802"/>
      <c r="I30" s="804"/>
      <c r="J30" s="612"/>
      <c r="K30" s="612"/>
      <c r="L30" s="612"/>
      <c r="M30" s="663"/>
      <c r="N30" s="623"/>
      <c r="O30" s="153"/>
      <c r="P30" s="638"/>
      <c r="Q30" s="612"/>
    </row>
    <row r="31" spans="1:17" ht="15.75" thickBot="1">
      <c r="A31" s="603" t="s">
        <v>61</v>
      </c>
      <c r="B31" s="604"/>
      <c r="C31" s="604"/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5"/>
      <c r="O31" s="153"/>
      <c r="P31" s="154">
        <v>0</v>
      </c>
      <c r="Q31" s="18"/>
    </row>
    <row r="32" spans="1:17" ht="19.5" thickBot="1">
      <c r="A32" s="613">
        <v>4</v>
      </c>
      <c r="B32" s="462"/>
      <c r="C32" s="364" t="s">
        <v>6</v>
      </c>
      <c r="D32" s="119"/>
      <c r="E32" s="619" t="s">
        <v>126</v>
      </c>
      <c r="F32" s="626">
        <v>60</v>
      </c>
      <c r="G32" s="372">
        <v>11.29</v>
      </c>
      <c r="H32" s="369">
        <v>1606</v>
      </c>
      <c r="I32" s="370">
        <v>12</v>
      </c>
      <c r="J32" s="102">
        <f>M32*1.15</f>
        <v>871.69999999999993</v>
      </c>
      <c r="K32" s="103">
        <f>J32*0.97</f>
        <v>845.54899999999986</v>
      </c>
      <c r="L32" s="91">
        <f>M32*1.03</f>
        <v>780.74</v>
      </c>
      <c r="M32" s="103">
        <f>ROUND(722*1.05,0)</f>
        <v>758</v>
      </c>
      <c r="N32" s="104">
        <f>ROUND(M32/1.2,2)</f>
        <v>631.66999999999996</v>
      </c>
      <c r="O32" s="153"/>
      <c r="P32" s="154"/>
      <c r="Q32" s="29"/>
    </row>
    <row r="33" spans="1:17" ht="60">
      <c r="A33" s="614"/>
      <c r="B33" s="464"/>
      <c r="C33" s="284" t="s">
        <v>68</v>
      </c>
      <c r="D33" s="119" t="s">
        <v>78</v>
      </c>
      <c r="E33" s="636"/>
      <c r="F33" s="627"/>
      <c r="G33" s="373">
        <v>11.29</v>
      </c>
      <c r="H33" s="244">
        <v>1606</v>
      </c>
      <c r="I33" s="245">
        <v>12</v>
      </c>
      <c r="J33" s="214">
        <f>M33*1.3</f>
        <v>1605.5</v>
      </c>
      <c r="K33" s="215">
        <f>J33*0.95</f>
        <v>1525.2249999999999</v>
      </c>
      <c r="L33" s="216">
        <f>M33*1.05</f>
        <v>1296.75</v>
      </c>
      <c r="M33" s="215">
        <f>ROUND(1176*1.05,0)</f>
        <v>1235</v>
      </c>
      <c r="N33" s="217">
        <f>ROUND(M33/1.2,2)</f>
        <v>1029.17</v>
      </c>
      <c r="O33" s="153"/>
      <c r="P33" s="154">
        <v>873.73</v>
      </c>
      <c r="Q33" s="19">
        <v>1001</v>
      </c>
    </row>
    <row r="34" spans="1:17" ht="75">
      <c r="A34" s="614"/>
      <c r="B34" s="318"/>
      <c r="C34" s="249" t="s">
        <v>83</v>
      </c>
      <c r="D34" s="117" t="s">
        <v>78</v>
      </c>
      <c r="E34" s="636"/>
      <c r="F34" s="627"/>
      <c r="G34" s="150">
        <v>11.29</v>
      </c>
      <c r="H34" s="122">
        <v>1606</v>
      </c>
      <c r="I34" s="123">
        <v>12</v>
      </c>
      <c r="J34" s="218">
        <f>M34*1.3</f>
        <v>1605.5</v>
      </c>
      <c r="K34" s="3">
        <f>J34*0.95</f>
        <v>1525.2249999999999</v>
      </c>
      <c r="L34" s="41">
        <f>M34*1.05</f>
        <v>1296.75</v>
      </c>
      <c r="M34" s="3">
        <f>ROUND(1176*1.05,0)</f>
        <v>1235</v>
      </c>
      <c r="N34" s="219">
        <f>ROUND(M34/1.2,2)</f>
        <v>1029.17</v>
      </c>
      <c r="O34" s="153"/>
      <c r="P34" s="154">
        <v>873.73</v>
      </c>
      <c r="Q34" s="19">
        <v>1001</v>
      </c>
    </row>
    <row r="35" spans="1:17" ht="45">
      <c r="A35" s="614"/>
      <c r="B35" s="347"/>
      <c r="C35" s="249" t="s">
        <v>84</v>
      </c>
      <c r="D35" s="22" t="s">
        <v>78</v>
      </c>
      <c r="E35" s="636"/>
      <c r="F35" s="627"/>
      <c r="G35" s="150">
        <v>11.29</v>
      </c>
      <c r="H35" s="122">
        <v>1606</v>
      </c>
      <c r="I35" s="123">
        <v>12</v>
      </c>
      <c r="J35" s="218">
        <f>M35*1.3</f>
        <v>1605.5</v>
      </c>
      <c r="K35" s="3">
        <f>J35*0.95</f>
        <v>1525.2249999999999</v>
      </c>
      <c r="L35" s="41">
        <f>M35*1.05</f>
        <v>1296.75</v>
      </c>
      <c r="M35" s="3">
        <f>ROUND(1176*1.05,0)</f>
        <v>1235</v>
      </c>
      <c r="N35" s="219">
        <f>ROUND(M35/1.2,2)</f>
        <v>1029.17</v>
      </c>
      <c r="O35" s="153"/>
      <c r="P35" s="154">
        <v>873.73</v>
      </c>
      <c r="Q35" s="19">
        <v>1001</v>
      </c>
    </row>
    <row r="36" spans="1:17" ht="45.75" thickBot="1">
      <c r="A36" s="615"/>
      <c r="B36" s="463"/>
      <c r="C36" s="389" t="s">
        <v>70</v>
      </c>
      <c r="D36" s="124" t="s">
        <v>78</v>
      </c>
      <c r="E36" s="637"/>
      <c r="F36" s="628"/>
      <c r="G36" s="151">
        <v>11.29</v>
      </c>
      <c r="H36" s="125">
        <v>1606</v>
      </c>
      <c r="I36" s="126">
        <v>12</v>
      </c>
      <c r="J36" s="220">
        <f>M36*1.3</f>
        <v>1605.5</v>
      </c>
      <c r="K36" s="4">
        <f>J36*0.95</f>
        <v>1525.2249999999999</v>
      </c>
      <c r="L36" s="221">
        <f>M36*1.05</f>
        <v>1296.75</v>
      </c>
      <c r="M36" s="4">
        <f>ROUND(1176*1.05,0)</f>
        <v>1235</v>
      </c>
      <c r="N36" s="222">
        <f>ROUND(M36/1.2,2)</f>
        <v>1029.17</v>
      </c>
      <c r="O36" s="153"/>
      <c r="P36" s="154">
        <v>873.73</v>
      </c>
      <c r="Q36" s="19">
        <v>1001</v>
      </c>
    </row>
    <row r="37" spans="1:17" ht="15.75" thickBot="1">
      <c r="A37" s="603" t="s">
        <v>62</v>
      </c>
      <c r="B37" s="604"/>
      <c r="C37" s="604"/>
      <c r="D37" s="604"/>
      <c r="E37" s="604"/>
      <c r="F37" s="604"/>
      <c r="G37" s="604"/>
      <c r="H37" s="604"/>
      <c r="I37" s="604"/>
      <c r="J37" s="604"/>
      <c r="K37" s="604"/>
      <c r="L37" s="604"/>
      <c r="M37" s="604"/>
      <c r="N37" s="605"/>
      <c r="O37" s="153"/>
      <c r="P37" s="154">
        <v>0</v>
      </c>
      <c r="Q37" s="26"/>
    </row>
    <row r="38" spans="1:17" ht="19.5" thickBot="1">
      <c r="A38" s="608">
        <v>5</v>
      </c>
      <c r="B38" s="467"/>
      <c r="C38" s="366" t="s">
        <v>6</v>
      </c>
      <c r="D38" s="100"/>
      <c r="E38" s="619" t="s">
        <v>67</v>
      </c>
      <c r="F38" s="616">
        <v>60</v>
      </c>
      <c r="G38" s="387">
        <v>11.52</v>
      </c>
      <c r="H38" s="369">
        <v>1635</v>
      </c>
      <c r="I38" s="370">
        <v>12</v>
      </c>
      <c r="J38" s="102">
        <f>M38*1.15</f>
        <v>871.69999999999993</v>
      </c>
      <c r="K38" s="103">
        <f>J38*0.97</f>
        <v>845.54899999999986</v>
      </c>
      <c r="L38" s="91">
        <f>M38*1.03</f>
        <v>780.74</v>
      </c>
      <c r="M38" s="103">
        <f>ROUND(722*1.05,0)</f>
        <v>758</v>
      </c>
      <c r="N38" s="104">
        <f>ROUND(M38/1.2,2)</f>
        <v>631.66999999999996</v>
      </c>
      <c r="O38" s="153"/>
      <c r="P38" s="154">
        <v>501.69</v>
      </c>
      <c r="Q38" s="28">
        <v>564</v>
      </c>
    </row>
    <row r="39" spans="1:17" ht="75">
      <c r="A39" s="689"/>
      <c r="B39" s="465"/>
      <c r="C39" s="252" t="s">
        <v>69</v>
      </c>
      <c r="D39" s="237" t="s">
        <v>78</v>
      </c>
      <c r="E39" s="636"/>
      <c r="F39" s="617"/>
      <c r="G39" s="373">
        <v>11.52</v>
      </c>
      <c r="H39" s="244">
        <v>1635</v>
      </c>
      <c r="I39" s="245">
        <v>12</v>
      </c>
      <c r="J39" s="214">
        <f>M39*1.3</f>
        <v>1605.5</v>
      </c>
      <c r="K39" s="215">
        <f>J39*0.95</f>
        <v>1525.2249999999999</v>
      </c>
      <c r="L39" s="216">
        <f>M39*1.05</f>
        <v>1296.75</v>
      </c>
      <c r="M39" s="215">
        <f>ROUND(1176*1.05,0)</f>
        <v>1235</v>
      </c>
      <c r="N39" s="217">
        <f t="shared" ref="N39:N110" si="0">ROUND(M39/1.2,2)</f>
        <v>1029.17</v>
      </c>
      <c r="O39" s="153"/>
      <c r="P39" s="154">
        <v>873.73</v>
      </c>
      <c r="Q39" s="19">
        <v>1001</v>
      </c>
    </row>
    <row r="40" spans="1:17" ht="75.75" thickBot="1">
      <c r="A40" s="609"/>
      <c r="B40" s="466"/>
      <c r="C40" s="389" t="s">
        <v>88</v>
      </c>
      <c r="D40" s="124" t="s">
        <v>78</v>
      </c>
      <c r="E40" s="637"/>
      <c r="F40" s="618"/>
      <c r="G40" s="151">
        <v>11.52</v>
      </c>
      <c r="H40" s="125">
        <v>1635</v>
      </c>
      <c r="I40" s="126">
        <v>12</v>
      </c>
      <c r="J40" s="220">
        <f>M40*1.3</f>
        <v>1605.5</v>
      </c>
      <c r="K40" s="4">
        <f>J40*0.95</f>
        <v>1525.2249999999999</v>
      </c>
      <c r="L40" s="221">
        <f>M40*1.05</f>
        <v>1296.75</v>
      </c>
      <c r="M40" s="4">
        <f>ROUND(1176*1.05,0)</f>
        <v>1235</v>
      </c>
      <c r="N40" s="222">
        <f t="shared" si="0"/>
        <v>1029.17</v>
      </c>
      <c r="O40" s="153"/>
      <c r="P40" s="154">
        <v>873.73</v>
      </c>
      <c r="Q40" s="19">
        <v>1001</v>
      </c>
    </row>
    <row r="41" spans="1:17" ht="15.75" thickBot="1">
      <c r="A41" s="603" t="s">
        <v>63</v>
      </c>
      <c r="B41" s="604"/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5"/>
      <c r="O41" s="153"/>
      <c r="P41" s="154">
        <v>0</v>
      </c>
      <c r="Q41" s="29"/>
    </row>
    <row r="42" spans="1:17" ht="19.5" thickBot="1">
      <c r="A42" s="613">
        <v>6</v>
      </c>
      <c r="B42" s="468"/>
      <c r="C42" s="239" t="s">
        <v>6</v>
      </c>
      <c r="D42" s="412" t="s">
        <v>78</v>
      </c>
      <c r="E42" s="712" t="s">
        <v>60</v>
      </c>
      <c r="F42" s="665">
        <v>60</v>
      </c>
      <c r="G42" s="371">
        <v>12.96</v>
      </c>
      <c r="H42" s="367">
        <v>1850</v>
      </c>
      <c r="I42" s="368">
        <v>11</v>
      </c>
      <c r="J42" s="173">
        <f>M42*1.15</f>
        <v>871.69999999999993</v>
      </c>
      <c r="K42" s="276">
        <f>J42*0.97</f>
        <v>845.54899999999986</v>
      </c>
      <c r="L42" s="165">
        <f>M42*1.03</f>
        <v>780.74</v>
      </c>
      <c r="M42" s="276">
        <f>ROUND(722*1.05,0)</f>
        <v>758</v>
      </c>
      <c r="N42" s="224">
        <f t="shared" si="0"/>
        <v>631.66999999999996</v>
      </c>
      <c r="O42" s="153"/>
      <c r="P42" s="154">
        <v>501.69</v>
      </c>
      <c r="Q42" s="1">
        <v>564</v>
      </c>
    </row>
    <row r="43" spans="1:17" ht="19.5" thickBot="1">
      <c r="A43" s="614"/>
      <c r="B43" s="253"/>
      <c r="C43" s="239" t="s">
        <v>14</v>
      </c>
      <c r="D43" s="413" t="s">
        <v>78</v>
      </c>
      <c r="E43" s="713"/>
      <c r="F43" s="666"/>
      <c r="G43" s="371">
        <v>12.96</v>
      </c>
      <c r="H43" s="367">
        <v>1850</v>
      </c>
      <c r="I43" s="368">
        <v>11</v>
      </c>
      <c r="J43" s="173">
        <f>M43*1.15</f>
        <v>961.4</v>
      </c>
      <c r="K43" s="276">
        <f>J43*0.95</f>
        <v>913.32999999999993</v>
      </c>
      <c r="L43" s="165">
        <f>M43*1.04</f>
        <v>869.44</v>
      </c>
      <c r="M43" s="276">
        <f>ROUND(796*1.05,0)</f>
        <v>836</v>
      </c>
      <c r="N43" s="224">
        <f t="shared" si="0"/>
        <v>696.67</v>
      </c>
      <c r="O43" s="153"/>
      <c r="P43" s="154"/>
      <c r="Q43" s="88"/>
    </row>
    <row r="44" spans="1:17" ht="45">
      <c r="A44" s="614"/>
      <c r="B44" s="346"/>
      <c r="C44" s="213" t="s">
        <v>89</v>
      </c>
      <c r="D44" s="238" t="s">
        <v>78</v>
      </c>
      <c r="E44" s="713"/>
      <c r="F44" s="666"/>
      <c r="G44" s="246">
        <v>12.96</v>
      </c>
      <c r="H44" s="128">
        <v>1850</v>
      </c>
      <c r="I44" s="31">
        <v>11</v>
      </c>
      <c r="J44" s="214">
        <f>M44*1.3</f>
        <v>1605.5</v>
      </c>
      <c r="K44" s="215">
        <f>J44*0.95</f>
        <v>1525.2249999999999</v>
      </c>
      <c r="L44" s="216">
        <f>M44*1.05</f>
        <v>1296.75</v>
      </c>
      <c r="M44" s="215">
        <f>ROUND(1176*1.05,0)</f>
        <v>1235</v>
      </c>
      <c r="N44" s="217">
        <f t="shared" si="0"/>
        <v>1029.17</v>
      </c>
      <c r="O44" s="153"/>
      <c r="P44" s="154">
        <v>873.73</v>
      </c>
      <c r="Q44" s="3">
        <v>1001</v>
      </c>
    </row>
    <row r="45" spans="1:17" ht="45">
      <c r="A45" s="614"/>
      <c r="B45" s="274"/>
      <c r="C45" s="89" t="s">
        <v>90</v>
      </c>
      <c r="D45" s="32" t="s">
        <v>78</v>
      </c>
      <c r="E45" s="713"/>
      <c r="F45" s="666"/>
      <c r="G45" s="248">
        <v>12.96</v>
      </c>
      <c r="H45" s="33">
        <v>1850</v>
      </c>
      <c r="I45" s="34">
        <v>11</v>
      </c>
      <c r="J45" s="218">
        <f>M45*1.3</f>
        <v>1605.5</v>
      </c>
      <c r="K45" s="3">
        <f>J45*0.95</f>
        <v>1525.2249999999999</v>
      </c>
      <c r="L45" s="41">
        <f>M45*1.05</f>
        <v>1296.75</v>
      </c>
      <c r="M45" s="3">
        <f>ROUND(1176*1.05,0)</f>
        <v>1235</v>
      </c>
      <c r="N45" s="219">
        <f>ROUND(M45/1.2,2)</f>
        <v>1029.17</v>
      </c>
      <c r="O45" s="153"/>
      <c r="P45" s="154">
        <v>873.73</v>
      </c>
      <c r="Q45" s="3">
        <v>1001</v>
      </c>
    </row>
    <row r="46" spans="1:17" ht="45">
      <c r="A46" s="614"/>
      <c r="B46" s="470"/>
      <c r="C46" s="89" t="s">
        <v>131</v>
      </c>
      <c r="D46" s="238"/>
      <c r="E46" s="713"/>
      <c r="F46" s="666"/>
      <c r="G46" s="248">
        <v>12.96</v>
      </c>
      <c r="H46" s="33">
        <v>1850</v>
      </c>
      <c r="I46" s="34">
        <v>11</v>
      </c>
      <c r="J46" s="218">
        <f>M46*1.3</f>
        <v>1605.5</v>
      </c>
      <c r="K46" s="3">
        <f>J46*0.95</f>
        <v>1525.2249999999999</v>
      </c>
      <c r="L46" s="41">
        <f>M46*1.05</f>
        <v>1296.75</v>
      </c>
      <c r="M46" s="3">
        <f>ROUND(1176*1.05,0)</f>
        <v>1235</v>
      </c>
      <c r="N46" s="219">
        <f>ROUND(M46/1.2,2)</f>
        <v>1029.17</v>
      </c>
      <c r="O46" s="153"/>
      <c r="P46" s="154">
        <v>873.73</v>
      </c>
      <c r="Q46" s="3">
        <v>1001</v>
      </c>
    </row>
    <row r="47" spans="1:17" ht="45.75" thickBot="1">
      <c r="A47" s="615"/>
      <c r="B47" s="469"/>
      <c r="C47" s="90" t="s">
        <v>85</v>
      </c>
      <c r="D47" s="238" t="s">
        <v>78</v>
      </c>
      <c r="E47" s="714"/>
      <c r="F47" s="667"/>
      <c r="G47" s="247">
        <v>12.96</v>
      </c>
      <c r="H47" s="36">
        <v>1850</v>
      </c>
      <c r="I47" s="37">
        <v>11</v>
      </c>
      <c r="J47" s="220">
        <f>M47*1.3</f>
        <v>1605.5</v>
      </c>
      <c r="K47" s="4">
        <f>J47*0.95</f>
        <v>1525.2249999999999</v>
      </c>
      <c r="L47" s="221">
        <f>M47*1.05</f>
        <v>1296.75</v>
      </c>
      <c r="M47" s="4">
        <f>ROUND(1176*1.05,0)</f>
        <v>1235</v>
      </c>
      <c r="N47" s="222">
        <f>ROUND(M47/1.2,2)</f>
        <v>1029.17</v>
      </c>
      <c r="O47" s="153"/>
      <c r="P47" s="154">
        <v>873.73</v>
      </c>
      <c r="Q47" s="3">
        <v>1001</v>
      </c>
    </row>
    <row r="48" spans="1:17" ht="15.75" thickBot="1">
      <c r="A48" s="603" t="s">
        <v>71</v>
      </c>
      <c r="B48" s="604"/>
      <c r="C48" s="604"/>
      <c r="D48" s="604"/>
      <c r="E48" s="604"/>
      <c r="F48" s="604"/>
      <c r="G48" s="604"/>
      <c r="H48" s="604"/>
      <c r="I48" s="604"/>
      <c r="J48" s="604"/>
      <c r="K48" s="604"/>
      <c r="L48" s="604"/>
      <c r="M48" s="604"/>
      <c r="N48" s="605"/>
      <c r="O48" s="153"/>
      <c r="P48" s="154">
        <v>0</v>
      </c>
      <c r="Q48" s="26"/>
    </row>
    <row r="49" spans="1:17" ht="45">
      <c r="A49" s="613">
        <v>7</v>
      </c>
      <c r="B49" s="374"/>
      <c r="C49" s="38" t="s">
        <v>90</v>
      </c>
      <c r="D49" s="39"/>
      <c r="E49" s="719" t="s">
        <v>127</v>
      </c>
      <c r="F49" s="665">
        <v>60</v>
      </c>
      <c r="G49" s="246">
        <v>12.7</v>
      </c>
      <c r="H49" s="128">
        <v>1770</v>
      </c>
      <c r="I49" s="40">
        <v>11</v>
      </c>
      <c r="J49" s="214">
        <f>M49*1.3</f>
        <v>1605.5</v>
      </c>
      <c r="K49" s="215">
        <f>J49*0.95</f>
        <v>1525.2249999999999</v>
      </c>
      <c r="L49" s="216">
        <f>M49*1.05</f>
        <v>1296.75</v>
      </c>
      <c r="M49" s="215">
        <f>ROUND(1176*1.05,0)</f>
        <v>1235</v>
      </c>
      <c r="N49" s="217">
        <f t="shared" si="0"/>
        <v>1029.17</v>
      </c>
      <c r="O49" s="153"/>
      <c r="P49" s="154">
        <v>873.73</v>
      </c>
      <c r="Q49" s="41">
        <v>1001</v>
      </c>
    </row>
    <row r="50" spans="1:17" ht="60.75" thickBot="1">
      <c r="A50" s="615"/>
      <c r="B50" s="471"/>
      <c r="C50" s="35" t="s">
        <v>91</v>
      </c>
      <c r="D50" s="42"/>
      <c r="E50" s="720"/>
      <c r="F50" s="667"/>
      <c r="G50" s="247">
        <v>12.7</v>
      </c>
      <c r="H50" s="36">
        <v>1770</v>
      </c>
      <c r="I50" s="43">
        <v>11</v>
      </c>
      <c r="J50" s="220">
        <f>M50*1.3</f>
        <v>1605.5</v>
      </c>
      <c r="K50" s="4">
        <f>J50*0.95</f>
        <v>1525.2249999999999</v>
      </c>
      <c r="L50" s="221">
        <f>M50*1.05</f>
        <v>1296.75</v>
      </c>
      <c r="M50" s="4">
        <f>ROUND(1176*1.05,0)</f>
        <v>1235</v>
      </c>
      <c r="N50" s="222">
        <f t="shared" si="0"/>
        <v>1029.17</v>
      </c>
      <c r="O50" s="153"/>
      <c r="P50" s="154">
        <v>873.73</v>
      </c>
      <c r="Q50" s="44">
        <v>1001</v>
      </c>
    </row>
    <row r="51" spans="1:17" ht="15.75" thickBot="1">
      <c r="A51" s="603" t="s">
        <v>110</v>
      </c>
      <c r="B51" s="604"/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5"/>
      <c r="O51" s="153"/>
      <c r="P51" s="154">
        <v>0</v>
      </c>
      <c r="Q51" s="18"/>
    </row>
    <row r="52" spans="1:17" ht="19.5" thickBot="1">
      <c r="A52" s="613">
        <v>8</v>
      </c>
      <c r="B52" s="472"/>
      <c r="C52" s="325" t="s">
        <v>6</v>
      </c>
      <c r="D52" s="380"/>
      <c r="E52" s="793" t="s">
        <v>135</v>
      </c>
      <c r="F52" s="794">
        <v>80</v>
      </c>
      <c r="G52" s="371">
        <v>10.8</v>
      </c>
      <c r="H52" s="367">
        <v>2024</v>
      </c>
      <c r="I52" s="368">
        <v>10</v>
      </c>
      <c r="J52" s="102">
        <f>M52*1.15</f>
        <v>1285.6999999999998</v>
      </c>
      <c r="K52" s="103">
        <f>J52*0.97</f>
        <v>1247.1289999999997</v>
      </c>
      <c r="L52" s="91">
        <f>M52*1.03</f>
        <v>1151.54</v>
      </c>
      <c r="M52" s="103">
        <f>ROUND(1065*1.05,0)</f>
        <v>1118</v>
      </c>
      <c r="N52" s="104">
        <f t="shared" si="0"/>
        <v>931.67</v>
      </c>
      <c r="O52" s="153"/>
      <c r="P52" s="154">
        <v>738.98</v>
      </c>
      <c r="Q52" s="1">
        <v>830</v>
      </c>
    </row>
    <row r="53" spans="1:17" ht="19.5" thickBot="1">
      <c r="A53" s="614"/>
      <c r="B53" s="475"/>
      <c r="C53" s="325" t="s">
        <v>14</v>
      </c>
      <c r="D53" s="380"/>
      <c r="E53" s="673"/>
      <c r="F53" s="795"/>
      <c r="G53" s="371">
        <v>10.8</v>
      </c>
      <c r="H53" s="367">
        <v>2024</v>
      </c>
      <c r="I53" s="368">
        <v>10</v>
      </c>
      <c r="J53" s="111">
        <f>M53*1.15</f>
        <v>1424.85</v>
      </c>
      <c r="K53" s="278">
        <f>J53*0.95</f>
        <v>1353.6074999999998</v>
      </c>
      <c r="L53" s="112">
        <f>M53*1.04</f>
        <v>1288.56</v>
      </c>
      <c r="M53" s="278">
        <f>ROUND(1180*1.05,0)</f>
        <v>1239</v>
      </c>
      <c r="N53" s="113">
        <f t="shared" si="0"/>
        <v>1032.5</v>
      </c>
      <c r="O53" s="153"/>
      <c r="P53" s="154">
        <v>818.64</v>
      </c>
      <c r="Q53" s="2">
        <v>920</v>
      </c>
    </row>
    <row r="54" spans="1:17" ht="45">
      <c r="A54" s="614"/>
      <c r="B54" s="473"/>
      <c r="C54" s="212" t="s">
        <v>85</v>
      </c>
      <c r="D54" s="225"/>
      <c r="E54" s="673"/>
      <c r="F54" s="795"/>
      <c r="G54" s="377">
        <v>10.8</v>
      </c>
      <c r="H54" s="378">
        <v>2024</v>
      </c>
      <c r="I54" s="379">
        <v>10</v>
      </c>
      <c r="J54" s="214">
        <f>M54*1.3</f>
        <v>1765.4</v>
      </c>
      <c r="K54" s="215">
        <f>J54*0.95</f>
        <v>1677.13</v>
      </c>
      <c r="L54" s="216">
        <f>M54*1.05</f>
        <v>1425.9</v>
      </c>
      <c r="M54" s="215">
        <f>ROUND(1293*1.05,0)</f>
        <v>1358</v>
      </c>
      <c r="N54" s="217">
        <f t="shared" si="0"/>
        <v>1131.67</v>
      </c>
      <c r="O54" s="153"/>
      <c r="P54" s="154">
        <v>960.17</v>
      </c>
      <c r="Q54" s="3">
        <v>1100</v>
      </c>
    </row>
    <row r="55" spans="1:17" ht="60">
      <c r="A55" s="614"/>
      <c r="B55" s="230"/>
      <c r="C55" s="89" t="s">
        <v>111</v>
      </c>
      <c r="D55" s="226"/>
      <c r="E55" s="673"/>
      <c r="F55" s="795"/>
      <c r="G55" s="248">
        <v>10.8</v>
      </c>
      <c r="H55" s="33">
        <v>2024</v>
      </c>
      <c r="I55" s="45">
        <v>10</v>
      </c>
      <c r="J55" s="218">
        <f t="shared" ref="J55:J62" si="1">M55*1.3</f>
        <v>1765.4</v>
      </c>
      <c r="K55" s="3">
        <f t="shared" ref="K55:K62" si="2">J55*0.95</f>
        <v>1677.13</v>
      </c>
      <c r="L55" s="41">
        <f t="shared" ref="L55:L62" si="3">M55*1.05</f>
        <v>1425.9</v>
      </c>
      <c r="M55" s="3">
        <f t="shared" ref="M55:M60" si="4">ROUND(1293*1.05,0)</f>
        <v>1358</v>
      </c>
      <c r="N55" s="219">
        <f t="shared" si="0"/>
        <v>1131.67</v>
      </c>
      <c r="O55" s="153"/>
      <c r="P55" s="154">
        <v>960.17</v>
      </c>
      <c r="Q55" s="3">
        <v>1100</v>
      </c>
    </row>
    <row r="56" spans="1:17" ht="45">
      <c r="A56" s="614"/>
      <c r="B56" s="230"/>
      <c r="C56" s="89" t="s">
        <v>107</v>
      </c>
      <c r="D56" s="226"/>
      <c r="E56" s="673" t="s">
        <v>136</v>
      </c>
      <c r="F56" s="795"/>
      <c r="G56" s="248">
        <v>10.8</v>
      </c>
      <c r="H56" s="33">
        <v>2024</v>
      </c>
      <c r="I56" s="45">
        <v>10</v>
      </c>
      <c r="J56" s="218">
        <f t="shared" si="1"/>
        <v>1765.4</v>
      </c>
      <c r="K56" s="3">
        <f t="shared" si="2"/>
        <v>1677.13</v>
      </c>
      <c r="L56" s="41">
        <f t="shared" si="3"/>
        <v>1425.9</v>
      </c>
      <c r="M56" s="3">
        <f t="shared" si="4"/>
        <v>1358</v>
      </c>
      <c r="N56" s="219">
        <f t="shared" si="0"/>
        <v>1131.67</v>
      </c>
      <c r="O56" s="153"/>
      <c r="P56" s="154">
        <v>960.17</v>
      </c>
      <c r="Q56" s="3">
        <v>1100</v>
      </c>
    </row>
    <row r="57" spans="1:17" ht="45">
      <c r="A57" s="614"/>
      <c r="B57" s="230"/>
      <c r="C57" s="89" t="s">
        <v>96</v>
      </c>
      <c r="D57" s="226"/>
      <c r="E57" s="673"/>
      <c r="F57" s="795"/>
      <c r="G57" s="248">
        <v>10.8</v>
      </c>
      <c r="H57" s="33">
        <v>2024</v>
      </c>
      <c r="I57" s="45">
        <v>10</v>
      </c>
      <c r="J57" s="218">
        <f t="shared" si="1"/>
        <v>1765.4</v>
      </c>
      <c r="K57" s="3">
        <f t="shared" si="2"/>
        <v>1677.13</v>
      </c>
      <c r="L57" s="41">
        <f t="shared" si="3"/>
        <v>1425.9</v>
      </c>
      <c r="M57" s="3">
        <f t="shared" si="4"/>
        <v>1358</v>
      </c>
      <c r="N57" s="219">
        <f t="shared" si="0"/>
        <v>1131.67</v>
      </c>
      <c r="O57" s="153"/>
      <c r="P57" s="154">
        <v>960.17</v>
      </c>
      <c r="Q57" s="3">
        <v>1100</v>
      </c>
    </row>
    <row r="58" spans="1:17" ht="45">
      <c r="A58" s="614"/>
      <c r="B58" s="230"/>
      <c r="C58" s="89" t="s">
        <v>131</v>
      </c>
      <c r="D58" s="238" t="s">
        <v>78</v>
      </c>
      <c r="E58" s="673"/>
      <c r="F58" s="795"/>
      <c r="G58" s="248">
        <v>10.8</v>
      </c>
      <c r="H58" s="33">
        <v>2024</v>
      </c>
      <c r="I58" s="45">
        <v>10</v>
      </c>
      <c r="J58" s="218">
        <f t="shared" si="1"/>
        <v>1765.4</v>
      </c>
      <c r="K58" s="3">
        <f t="shared" si="2"/>
        <v>1677.13</v>
      </c>
      <c r="L58" s="41">
        <f t="shared" si="3"/>
        <v>1425.9</v>
      </c>
      <c r="M58" s="3">
        <f t="shared" si="4"/>
        <v>1358</v>
      </c>
      <c r="N58" s="219">
        <f t="shared" si="0"/>
        <v>1131.67</v>
      </c>
      <c r="O58" s="153"/>
      <c r="P58" s="154">
        <v>960.17</v>
      </c>
      <c r="Q58" s="3">
        <v>1100</v>
      </c>
    </row>
    <row r="59" spans="1:17" ht="60">
      <c r="A59" s="614"/>
      <c r="B59" s="474"/>
      <c r="C59" s="89" t="s">
        <v>95</v>
      </c>
      <c r="D59" s="226"/>
      <c r="E59" s="673"/>
      <c r="F59" s="795"/>
      <c r="G59" s="248">
        <v>10.8</v>
      </c>
      <c r="H59" s="33">
        <v>2024</v>
      </c>
      <c r="I59" s="45">
        <v>10</v>
      </c>
      <c r="J59" s="218">
        <f t="shared" si="1"/>
        <v>1765.4</v>
      </c>
      <c r="K59" s="3">
        <f t="shared" si="2"/>
        <v>1677.13</v>
      </c>
      <c r="L59" s="41">
        <f t="shared" si="3"/>
        <v>1425.9</v>
      </c>
      <c r="M59" s="3">
        <f t="shared" si="4"/>
        <v>1358</v>
      </c>
      <c r="N59" s="219">
        <f t="shared" si="0"/>
        <v>1131.67</v>
      </c>
      <c r="O59" s="153"/>
      <c r="P59" s="154">
        <v>960.17</v>
      </c>
      <c r="Q59" s="3">
        <v>1100</v>
      </c>
    </row>
    <row r="60" spans="1:17" ht="45.75" thickBot="1">
      <c r="A60" s="614"/>
      <c r="B60" s="228"/>
      <c r="C60" s="90" t="s">
        <v>90</v>
      </c>
      <c r="D60" s="229"/>
      <c r="E60" s="673" t="s">
        <v>137</v>
      </c>
      <c r="F60" s="795"/>
      <c r="G60" s="247">
        <v>10.8</v>
      </c>
      <c r="H60" s="36">
        <v>2024</v>
      </c>
      <c r="I60" s="43">
        <v>10</v>
      </c>
      <c r="J60" s="220">
        <f t="shared" si="1"/>
        <v>1765.4</v>
      </c>
      <c r="K60" s="4">
        <f t="shared" si="2"/>
        <v>1677.13</v>
      </c>
      <c r="L60" s="221">
        <f t="shared" si="3"/>
        <v>1425.9</v>
      </c>
      <c r="M60" s="4">
        <f t="shared" si="4"/>
        <v>1358</v>
      </c>
      <c r="N60" s="222">
        <f t="shared" si="0"/>
        <v>1131.67</v>
      </c>
      <c r="O60" s="153"/>
      <c r="P60" s="154">
        <v>960.17</v>
      </c>
      <c r="Q60" s="3">
        <v>1100</v>
      </c>
    </row>
    <row r="61" spans="1:17" ht="45.75" thickBot="1">
      <c r="A61" s="614"/>
      <c r="B61" s="476"/>
      <c r="C61" s="231" t="s">
        <v>105</v>
      </c>
      <c r="D61" s="232"/>
      <c r="E61" s="673"/>
      <c r="F61" s="795"/>
      <c r="G61" s="377">
        <v>10.8</v>
      </c>
      <c r="H61" s="378">
        <v>2024</v>
      </c>
      <c r="I61" s="379">
        <v>10</v>
      </c>
      <c r="J61" s="214">
        <f>M61*1.3</f>
        <v>1948.7</v>
      </c>
      <c r="K61" s="215">
        <f>J61*0.95</f>
        <v>1851.2649999999999</v>
      </c>
      <c r="L61" s="216">
        <f>M61*1.05</f>
        <v>1573.95</v>
      </c>
      <c r="M61" s="215">
        <v>1499</v>
      </c>
      <c r="N61" s="217">
        <f>ROUND(M61/1.2,2)</f>
        <v>1249.17</v>
      </c>
      <c r="O61" s="153"/>
      <c r="P61" s="154"/>
      <c r="Q61" s="4">
        <v>1100</v>
      </c>
    </row>
    <row r="62" spans="1:17" ht="45.75" thickBot="1">
      <c r="A62" s="615"/>
      <c r="B62" s="477"/>
      <c r="C62" s="233" t="s">
        <v>106</v>
      </c>
      <c r="D62" s="172"/>
      <c r="E62" s="721"/>
      <c r="F62" s="796"/>
      <c r="G62" s="247">
        <v>10.8</v>
      </c>
      <c r="H62" s="36">
        <v>2024</v>
      </c>
      <c r="I62" s="43">
        <v>10</v>
      </c>
      <c r="J62" s="220">
        <f t="shared" si="1"/>
        <v>1948.7</v>
      </c>
      <c r="K62" s="4">
        <f t="shared" si="2"/>
        <v>1851.2649999999999</v>
      </c>
      <c r="L62" s="221">
        <f t="shared" si="3"/>
        <v>1573.95</v>
      </c>
      <c r="M62" s="4">
        <v>1499</v>
      </c>
      <c r="N62" s="222">
        <f t="shared" si="0"/>
        <v>1249.17</v>
      </c>
      <c r="O62" s="153"/>
      <c r="P62" s="154">
        <v>960.17</v>
      </c>
      <c r="Q62" s="4">
        <v>1100</v>
      </c>
    </row>
    <row r="63" spans="1:17" ht="15.75" thickBot="1">
      <c r="A63" s="603" t="s">
        <v>36</v>
      </c>
      <c r="B63" s="604"/>
      <c r="C63" s="604"/>
      <c r="D63" s="604"/>
      <c r="E63" s="604"/>
      <c r="F63" s="604"/>
      <c r="G63" s="604"/>
      <c r="H63" s="604"/>
      <c r="I63" s="604"/>
      <c r="J63" s="604"/>
      <c r="K63" s="604"/>
      <c r="L63" s="604"/>
      <c r="M63" s="604"/>
      <c r="N63" s="605"/>
      <c r="O63" s="153"/>
      <c r="P63" s="154">
        <v>0</v>
      </c>
      <c r="Q63" s="46"/>
    </row>
    <row r="64" spans="1:17" ht="19.5" thickBot="1">
      <c r="A64" s="185">
        <v>9</v>
      </c>
      <c r="B64" s="478"/>
      <c r="C64" s="254" t="s">
        <v>6</v>
      </c>
      <c r="D64" s="47" t="s">
        <v>78</v>
      </c>
      <c r="E64" s="376" t="s">
        <v>128</v>
      </c>
      <c r="F64" s="381">
        <v>80</v>
      </c>
      <c r="G64" s="148">
        <v>10</v>
      </c>
      <c r="H64" s="129">
        <v>1506</v>
      </c>
      <c r="I64" s="130">
        <v>13</v>
      </c>
      <c r="J64" s="102">
        <f>ROUND(M64+M64*R64,0)</f>
        <v>793</v>
      </c>
      <c r="K64" s="103">
        <f>J64*0.97</f>
        <v>769.20999999999992</v>
      </c>
      <c r="L64" s="91">
        <f>M64*1.03</f>
        <v>816.79000000000008</v>
      </c>
      <c r="M64" s="103">
        <f>ROUND(755*1.05,0)</f>
        <v>793</v>
      </c>
      <c r="N64" s="104">
        <f t="shared" si="0"/>
        <v>660.83</v>
      </c>
      <c r="O64" s="153"/>
      <c r="P64" s="154">
        <v>523.73</v>
      </c>
      <c r="Q64" s="15">
        <v>589</v>
      </c>
    </row>
    <row r="65" spans="1:17" ht="15.75" thickBot="1">
      <c r="A65" s="603" t="s">
        <v>4</v>
      </c>
      <c r="B65" s="604"/>
      <c r="C65" s="604"/>
      <c r="D65" s="604"/>
      <c r="E65" s="604"/>
      <c r="F65" s="604"/>
      <c r="G65" s="604"/>
      <c r="H65" s="604"/>
      <c r="I65" s="604"/>
      <c r="J65" s="604"/>
      <c r="K65" s="604"/>
      <c r="L65" s="604"/>
      <c r="M65" s="604"/>
      <c r="N65" s="605"/>
      <c r="O65" s="153"/>
      <c r="P65" s="154">
        <v>0</v>
      </c>
      <c r="Q65" s="46"/>
    </row>
    <row r="66" spans="1:17">
      <c r="A66" s="668">
        <v>10</v>
      </c>
      <c r="B66" s="727"/>
      <c r="C66" s="683" t="s">
        <v>6</v>
      </c>
      <c r="D66" s="786" t="s">
        <v>78</v>
      </c>
      <c r="E66" s="695" t="s">
        <v>21</v>
      </c>
      <c r="F66" s="374">
        <v>60</v>
      </c>
      <c r="G66" s="306">
        <v>12.9</v>
      </c>
      <c r="H66" s="286">
        <v>1777</v>
      </c>
      <c r="I66" s="131">
        <v>11</v>
      </c>
      <c r="J66" s="214">
        <f t="shared" ref="J66:J99" si="5">ROUND(M66+M66*R66,0)</f>
        <v>683</v>
      </c>
      <c r="K66" s="215">
        <f t="shared" ref="K66:K73" si="6">ROUND(J66-(J66*S66),0)</f>
        <v>683</v>
      </c>
      <c r="L66" s="216">
        <f>M66*1.03</f>
        <v>703.49</v>
      </c>
      <c r="M66" s="215">
        <f>ROUND(650*1.05,0)</f>
        <v>683</v>
      </c>
      <c r="N66" s="217">
        <f t="shared" si="0"/>
        <v>569.16999999999996</v>
      </c>
      <c r="O66" s="153"/>
      <c r="P66" s="154">
        <v>450.85</v>
      </c>
      <c r="Q66" s="51">
        <v>507</v>
      </c>
    </row>
    <row r="67" spans="1:17" ht="15.75" thickBot="1">
      <c r="A67" s="669"/>
      <c r="B67" s="728"/>
      <c r="C67" s="684"/>
      <c r="D67" s="787"/>
      <c r="E67" s="696"/>
      <c r="F67" s="385">
        <v>80</v>
      </c>
      <c r="G67" s="382">
        <v>10.75</v>
      </c>
      <c r="H67" s="180">
        <v>1973</v>
      </c>
      <c r="I67" s="257">
        <v>10</v>
      </c>
      <c r="J67" s="220">
        <f t="shared" si="5"/>
        <v>793</v>
      </c>
      <c r="K67" s="4">
        <f t="shared" si="6"/>
        <v>793</v>
      </c>
      <c r="L67" s="221">
        <f>M67*1.03</f>
        <v>816.79000000000008</v>
      </c>
      <c r="M67" s="4">
        <f>ROUND(755*1.05,0)</f>
        <v>793</v>
      </c>
      <c r="N67" s="222">
        <f t="shared" si="0"/>
        <v>660.83</v>
      </c>
      <c r="O67" s="153"/>
      <c r="P67" s="154">
        <v>523.73</v>
      </c>
      <c r="Q67" s="52">
        <v>589</v>
      </c>
    </row>
    <row r="68" spans="1:17">
      <c r="A68" s="669"/>
      <c r="B68" s="699"/>
      <c r="C68" s="678" t="s">
        <v>14</v>
      </c>
      <c r="D68" s="786" t="s">
        <v>78</v>
      </c>
      <c r="E68" s="697"/>
      <c r="F68" s="374">
        <v>60</v>
      </c>
      <c r="G68" s="306">
        <v>12.9</v>
      </c>
      <c r="H68" s="286">
        <v>1777</v>
      </c>
      <c r="I68" s="131">
        <v>11</v>
      </c>
      <c r="J68" s="214">
        <f>ROUND(M68+M68*R68,0)</f>
        <v>758</v>
      </c>
      <c r="K68" s="215">
        <f t="shared" si="6"/>
        <v>758</v>
      </c>
      <c r="L68" s="216">
        <f t="shared" ref="L68:L73" si="7">M68*1.04</f>
        <v>788.32</v>
      </c>
      <c r="M68" s="215">
        <f>ROUND(722*1.05,0)</f>
        <v>758</v>
      </c>
      <c r="N68" s="217">
        <f t="shared" si="0"/>
        <v>631.66999999999996</v>
      </c>
      <c r="O68" s="153"/>
      <c r="P68" s="154">
        <v>501.69</v>
      </c>
      <c r="Q68" s="19">
        <v>564</v>
      </c>
    </row>
    <row r="69" spans="1:17" ht="15.75" thickBot="1">
      <c r="A69" s="669"/>
      <c r="B69" s="700"/>
      <c r="C69" s="682"/>
      <c r="D69" s="787"/>
      <c r="E69" s="698"/>
      <c r="F69" s="375">
        <v>80</v>
      </c>
      <c r="G69" s="307">
        <v>10.75</v>
      </c>
      <c r="H69" s="288">
        <v>1973</v>
      </c>
      <c r="I69" s="54">
        <v>10</v>
      </c>
      <c r="J69" s="220">
        <f t="shared" si="5"/>
        <v>910</v>
      </c>
      <c r="K69" s="4">
        <f t="shared" si="6"/>
        <v>910</v>
      </c>
      <c r="L69" s="221">
        <f t="shared" si="7"/>
        <v>946.4</v>
      </c>
      <c r="M69" s="4">
        <f>ROUND(867*1.05,0)</f>
        <v>910</v>
      </c>
      <c r="N69" s="222">
        <f t="shared" si="0"/>
        <v>758.33</v>
      </c>
      <c r="O69" s="153"/>
      <c r="P69" s="154">
        <v>601.69000000000005</v>
      </c>
      <c r="Q69" s="53">
        <v>676</v>
      </c>
    </row>
    <row r="70" spans="1:17">
      <c r="A70" s="669"/>
      <c r="B70" s="724"/>
      <c r="C70" s="678" t="s">
        <v>44</v>
      </c>
      <c r="D70" s="786" t="s">
        <v>78</v>
      </c>
      <c r="E70" s="698"/>
      <c r="F70" s="418">
        <v>60</v>
      </c>
      <c r="G70" s="383">
        <v>12.9</v>
      </c>
      <c r="H70" s="345">
        <v>1777</v>
      </c>
      <c r="I70" s="259">
        <v>11</v>
      </c>
      <c r="J70" s="214">
        <f>ROUND(M70+M70*R70,0)</f>
        <v>758</v>
      </c>
      <c r="K70" s="215">
        <f t="shared" si="6"/>
        <v>758</v>
      </c>
      <c r="L70" s="216">
        <f t="shared" si="7"/>
        <v>788.32</v>
      </c>
      <c r="M70" s="215">
        <f>ROUND(722*1.05,0)</f>
        <v>758</v>
      </c>
      <c r="N70" s="217">
        <f>ROUND(M70/1.2,2)</f>
        <v>631.66999999999996</v>
      </c>
      <c r="O70" s="153"/>
      <c r="P70" s="154">
        <v>501.69</v>
      </c>
      <c r="Q70" s="19">
        <v>564</v>
      </c>
    </row>
    <row r="71" spans="1:17" ht="15.75" thickBot="1">
      <c r="A71" s="669"/>
      <c r="B71" s="725"/>
      <c r="C71" s="679"/>
      <c r="D71" s="787"/>
      <c r="E71" s="698"/>
      <c r="F71" s="385">
        <v>80</v>
      </c>
      <c r="G71" s="382">
        <v>10.75</v>
      </c>
      <c r="H71" s="180">
        <v>1973</v>
      </c>
      <c r="I71" s="257">
        <v>10</v>
      </c>
      <c r="J71" s="220">
        <f>ROUND(M71+M71*R71,0)</f>
        <v>910</v>
      </c>
      <c r="K71" s="4">
        <f t="shared" si="6"/>
        <v>910</v>
      </c>
      <c r="L71" s="221">
        <f t="shared" si="7"/>
        <v>946.4</v>
      </c>
      <c r="M71" s="4">
        <f>ROUND(867*1.05,0)</f>
        <v>910</v>
      </c>
      <c r="N71" s="222">
        <f>ROUND(M71/1.2,2)</f>
        <v>758.33</v>
      </c>
      <c r="O71" s="153"/>
      <c r="P71" s="154">
        <v>601.69000000000005</v>
      </c>
      <c r="Q71" s="53">
        <v>676</v>
      </c>
    </row>
    <row r="72" spans="1:17" ht="19.5" thickBot="1">
      <c r="A72" s="669"/>
      <c r="B72" s="392"/>
      <c r="C72" s="325" t="s">
        <v>15</v>
      </c>
      <c r="D72" s="47"/>
      <c r="E72" s="697"/>
      <c r="F72" s="376">
        <v>60</v>
      </c>
      <c r="G72" s="148">
        <v>12.9</v>
      </c>
      <c r="H72" s="129">
        <v>1777</v>
      </c>
      <c r="I72" s="236">
        <v>11</v>
      </c>
      <c r="J72" s="214">
        <f>ROUND(M72+M72*R72,0)</f>
        <v>758</v>
      </c>
      <c r="K72" s="215">
        <f t="shared" si="6"/>
        <v>758</v>
      </c>
      <c r="L72" s="216">
        <f t="shared" si="7"/>
        <v>788.32</v>
      </c>
      <c r="M72" s="215">
        <f>ROUND(722*1.05,0)</f>
        <v>758</v>
      </c>
      <c r="N72" s="217">
        <f>ROUND(M72/1.2,2)</f>
        <v>631.66999999999996</v>
      </c>
      <c r="O72" s="153"/>
      <c r="P72" s="154">
        <v>501.69</v>
      </c>
      <c r="Q72" s="19">
        <v>564</v>
      </c>
    </row>
    <row r="73" spans="1:17" ht="19.5" thickBot="1">
      <c r="A73" s="669"/>
      <c r="B73" s="391"/>
      <c r="C73" s="327" t="s">
        <v>132</v>
      </c>
      <c r="D73" s="251"/>
      <c r="E73" s="750"/>
      <c r="F73" s="376">
        <v>60</v>
      </c>
      <c r="G73" s="148">
        <v>12.9</v>
      </c>
      <c r="H73" s="129">
        <v>1777</v>
      </c>
      <c r="I73" s="236">
        <v>11</v>
      </c>
      <c r="J73" s="214">
        <f>ROUND(M73+M73*R73,0)</f>
        <v>758</v>
      </c>
      <c r="K73" s="215">
        <f t="shared" si="6"/>
        <v>758</v>
      </c>
      <c r="L73" s="216">
        <f t="shared" si="7"/>
        <v>788.32</v>
      </c>
      <c r="M73" s="215">
        <f>ROUND(722*1.05,0)</f>
        <v>758</v>
      </c>
      <c r="N73" s="217">
        <f>ROUND(M73/1.2,2)</f>
        <v>631.66999999999996</v>
      </c>
      <c r="O73" s="153"/>
      <c r="P73" s="154">
        <v>501.69</v>
      </c>
      <c r="Q73" s="19">
        <v>564</v>
      </c>
    </row>
    <row r="74" spans="1:17" ht="18.75">
      <c r="A74" s="669"/>
      <c r="B74" s="302"/>
      <c r="C74" s="788" t="s">
        <v>101</v>
      </c>
      <c r="D74" s="119" t="s">
        <v>78</v>
      </c>
      <c r="E74" s="619" t="s">
        <v>21</v>
      </c>
      <c r="F74" s="295">
        <v>60</v>
      </c>
      <c r="G74" s="384">
        <v>12.9</v>
      </c>
      <c r="H74" s="286">
        <v>1777</v>
      </c>
      <c r="I74" s="131">
        <v>11</v>
      </c>
      <c r="J74" s="214">
        <f t="shared" si="5"/>
        <v>1107</v>
      </c>
      <c r="K74" s="215">
        <f>J74*0.95</f>
        <v>1051.6499999999999</v>
      </c>
      <c r="L74" s="216">
        <f>M74*1.05</f>
        <v>1162.3500000000001</v>
      </c>
      <c r="M74" s="215">
        <f>ROUND(1054*1.05,0)</f>
        <v>1107</v>
      </c>
      <c r="N74" s="217">
        <f t="shared" si="0"/>
        <v>922.5</v>
      </c>
      <c r="O74" s="153"/>
      <c r="P74" s="154">
        <v>782.2</v>
      </c>
      <c r="Q74" s="56">
        <v>896</v>
      </c>
    </row>
    <row r="75" spans="1:17" ht="19.5" thickBot="1">
      <c r="A75" s="669"/>
      <c r="B75" s="256"/>
      <c r="C75" s="789"/>
      <c r="D75" s="172"/>
      <c r="E75" s="636"/>
      <c r="F75" s="296">
        <v>80</v>
      </c>
      <c r="G75" s="307">
        <v>10.75</v>
      </c>
      <c r="H75" s="288">
        <v>1973</v>
      </c>
      <c r="I75" s="167">
        <v>10</v>
      </c>
      <c r="J75" s="220">
        <f t="shared" si="5"/>
        <v>1244</v>
      </c>
      <c r="K75" s="4">
        <f t="shared" ref="K75:K99" si="8">J75*0.95</f>
        <v>1181.8</v>
      </c>
      <c r="L75" s="221">
        <f t="shared" ref="L75:L99" si="9">M75*1.05</f>
        <v>1306.2</v>
      </c>
      <c r="M75" s="4">
        <f>ROUND(1185*1.05,0)</f>
        <v>1244</v>
      </c>
      <c r="N75" s="222">
        <f t="shared" si="0"/>
        <v>1036.67</v>
      </c>
      <c r="O75" s="153"/>
      <c r="P75" s="154">
        <v>879.66</v>
      </c>
      <c r="Q75" s="57">
        <v>1008</v>
      </c>
    </row>
    <row r="76" spans="1:17" ht="18.75">
      <c r="A76" s="669"/>
      <c r="B76" s="302"/>
      <c r="C76" s="790" t="s">
        <v>102</v>
      </c>
      <c r="D76" s="119" t="s">
        <v>78</v>
      </c>
      <c r="E76" s="636"/>
      <c r="F76" s="295">
        <v>60</v>
      </c>
      <c r="G76" s="384">
        <v>12.9</v>
      </c>
      <c r="H76" s="286">
        <v>1777</v>
      </c>
      <c r="I76" s="131">
        <v>11</v>
      </c>
      <c r="J76" s="214">
        <f t="shared" si="5"/>
        <v>1107</v>
      </c>
      <c r="K76" s="215">
        <f t="shared" si="8"/>
        <v>1051.6499999999999</v>
      </c>
      <c r="L76" s="216">
        <f t="shared" si="9"/>
        <v>1162.3500000000001</v>
      </c>
      <c r="M76" s="215">
        <f>ROUND(1054*1.05,0)</f>
        <v>1107</v>
      </c>
      <c r="N76" s="217">
        <f t="shared" si="0"/>
        <v>922.5</v>
      </c>
      <c r="O76" s="153"/>
      <c r="P76" s="154">
        <v>782.2</v>
      </c>
      <c r="Q76" s="58">
        <v>896</v>
      </c>
    </row>
    <row r="77" spans="1:17" ht="19.5" thickBot="1">
      <c r="A77" s="669"/>
      <c r="B77" s="394"/>
      <c r="C77" s="791"/>
      <c r="D77" s="172"/>
      <c r="E77" s="636"/>
      <c r="F77" s="296">
        <v>80</v>
      </c>
      <c r="G77" s="307">
        <v>10.75</v>
      </c>
      <c r="H77" s="288">
        <v>1973</v>
      </c>
      <c r="I77" s="167">
        <v>10</v>
      </c>
      <c r="J77" s="220">
        <f t="shared" si="5"/>
        <v>1244</v>
      </c>
      <c r="K77" s="4">
        <f t="shared" si="8"/>
        <v>1181.8</v>
      </c>
      <c r="L77" s="221">
        <f t="shared" si="9"/>
        <v>1306.2</v>
      </c>
      <c r="M77" s="4">
        <f>ROUND(1185*1.05,0)</f>
        <v>1244</v>
      </c>
      <c r="N77" s="222">
        <f t="shared" si="0"/>
        <v>1036.67</v>
      </c>
      <c r="O77" s="153"/>
      <c r="P77" s="154">
        <v>879.66</v>
      </c>
      <c r="Q77" s="57">
        <v>1008</v>
      </c>
    </row>
    <row r="78" spans="1:17" ht="18.75">
      <c r="A78" s="669"/>
      <c r="B78" s="302"/>
      <c r="C78" s="788" t="s">
        <v>103</v>
      </c>
      <c r="D78" s="119" t="s">
        <v>78</v>
      </c>
      <c r="E78" s="636"/>
      <c r="F78" s="295">
        <v>60</v>
      </c>
      <c r="G78" s="306">
        <v>12.9</v>
      </c>
      <c r="H78" s="286">
        <v>1777</v>
      </c>
      <c r="I78" s="131">
        <v>11</v>
      </c>
      <c r="J78" s="214">
        <f t="shared" si="5"/>
        <v>1107</v>
      </c>
      <c r="K78" s="215">
        <f t="shared" si="8"/>
        <v>1051.6499999999999</v>
      </c>
      <c r="L78" s="216">
        <f t="shared" si="9"/>
        <v>1162.3500000000001</v>
      </c>
      <c r="M78" s="215">
        <f>ROUND(1054*1.05,0)</f>
        <v>1107</v>
      </c>
      <c r="N78" s="217">
        <f t="shared" si="0"/>
        <v>922.5</v>
      </c>
      <c r="O78" s="153"/>
      <c r="P78" s="154">
        <v>782.2</v>
      </c>
      <c r="Q78" s="58">
        <v>896</v>
      </c>
    </row>
    <row r="79" spans="1:17" ht="19.5" thickBot="1">
      <c r="A79" s="669"/>
      <c r="B79" s="256"/>
      <c r="C79" s="789"/>
      <c r="D79" s="172"/>
      <c r="E79" s="636"/>
      <c r="F79" s="296">
        <v>80</v>
      </c>
      <c r="G79" s="307">
        <v>10.75</v>
      </c>
      <c r="H79" s="288">
        <v>1973</v>
      </c>
      <c r="I79" s="167">
        <v>10</v>
      </c>
      <c r="J79" s="220">
        <f t="shared" si="5"/>
        <v>1244</v>
      </c>
      <c r="K79" s="4">
        <f t="shared" si="8"/>
        <v>1181.8</v>
      </c>
      <c r="L79" s="221">
        <f t="shared" si="9"/>
        <v>1306.2</v>
      </c>
      <c r="M79" s="4">
        <f>ROUND(1185*1.05,0)</f>
        <v>1244</v>
      </c>
      <c r="N79" s="222">
        <f t="shared" si="0"/>
        <v>1036.67</v>
      </c>
      <c r="O79" s="153"/>
      <c r="P79" s="154">
        <v>879.66</v>
      </c>
      <c r="Q79" s="57">
        <v>1008</v>
      </c>
    </row>
    <row r="80" spans="1:17" ht="18.75">
      <c r="A80" s="669"/>
      <c r="B80" s="302"/>
      <c r="C80" s="683" t="s">
        <v>100</v>
      </c>
      <c r="D80" s="119" t="s">
        <v>78</v>
      </c>
      <c r="E80" s="636"/>
      <c r="F80" s="295">
        <v>60</v>
      </c>
      <c r="G80" s="306">
        <v>12.9</v>
      </c>
      <c r="H80" s="286">
        <v>1777</v>
      </c>
      <c r="I80" s="131">
        <v>11</v>
      </c>
      <c r="J80" s="214">
        <f t="shared" si="5"/>
        <v>1107</v>
      </c>
      <c r="K80" s="215">
        <f t="shared" si="8"/>
        <v>1051.6499999999999</v>
      </c>
      <c r="L80" s="216">
        <f t="shared" si="9"/>
        <v>1162.3500000000001</v>
      </c>
      <c r="M80" s="215">
        <f>ROUND(1054*1.05,0)</f>
        <v>1107</v>
      </c>
      <c r="N80" s="217">
        <f t="shared" si="0"/>
        <v>922.5</v>
      </c>
      <c r="O80" s="153"/>
      <c r="P80" s="154">
        <v>782.2</v>
      </c>
      <c r="Q80" s="58">
        <v>896</v>
      </c>
    </row>
    <row r="81" spans="1:17" ht="19.5" thickBot="1">
      <c r="A81" s="669"/>
      <c r="B81" s="394"/>
      <c r="C81" s="684"/>
      <c r="D81" s="172"/>
      <c r="E81" s="636"/>
      <c r="F81" s="296">
        <v>80</v>
      </c>
      <c r="G81" s="307">
        <v>10.75</v>
      </c>
      <c r="H81" s="288">
        <v>1973</v>
      </c>
      <c r="I81" s="167">
        <v>10</v>
      </c>
      <c r="J81" s="220">
        <f t="shared" si="5"/>
        <v>1244</v>
      </c>
      <c r="K81" s="4">
        <f t="shared" si="8"/>
        <v>1181.8</v>
      </c>
      <c r="L81" s="221">
        <f t="shared" si="9"/>
        <v>1306.2</v>
      </c>
      <c r="M81" s="4">
        <f>ROUND(1185*1.05,0)</f>
        <v>1244</v>
      </c>
      <c r="N81" s="222">
        <f t="shared" si="0"/>
        <v>1036.67</v>
      </c>
      <c r="O81" s="153"/>
      <c r="P81" s="154">
        <v>879.66</v>
      </c>
      <c r="Q81" s="57">
        <v>1008</v>
      </c>
    </row>
    <row r="82" spans="1:17" ht="18.75">
      <c r="A82" s="669"/>
      <c r="B82" s="397"/>
      <c r="C82" s="784" t="s">
        <v>99</v>
      </c>
      <c r="D82" s="119" t="s">
        <v>78</v>
      </c>
      <c r="E82" s="636"/>
      <c r="F82" s="295">
        <v>60</v>
      </c>
      <c r="G82" s="306">
        <v>12.9</v>
      </c>
      <c r="H82" s="286">
        <v>1777</v>
      </c>
      <c r="I82" s="131">
        <v>11</v>
      </c>
      <c r="J82" s="214">
        <f t="shared" si="5"/>
        <v>1107</v>
      </c>
      <c r="K82" s="215">
        <f t="shared" si="8"/>
        <v>1051.6499999999999</v>
      </c>
      <c r="L82" s="216">
        <f t="shared" si="9"/>
        <v>1162.3500000000001</v>
      </c>
      <c r="M82" s="215">
        <f>ROUND(1054*1.05,0)</f>
        <v>1107</v>
      </c>
      <c r="N82" s="217">
        <f t="shared" si="0"/>
        <v>922.5</v>
      </c>
      <c r="O82" s="153"/>
      <c r="P82" s="154">
        <v>782.2</v>
      </c>
      <c r="Q82" s="58">
        <v>896</v>
      </c>
    </row>
    <row r="83" spans="1:17" ht="19.5" thickBot="1">
      <c r="A83" s="669"/>
      <c r="B83" s="256"/>
      <c r="C83" s="785"/>
      <c r="D83" s="172"/>
      <c r="E83" s="636"/>
      <c r="F83" s="296">
        <v>80</v>
      </c>
      <c r="G83" s="307">
        <v>10.75</v>
      </c>
      <c r="H83" s="288">
        <v>1973</v>
      </c>
      <c r="I83" s="54">
        <v>10</v>
      </c>
      <c r="J83" s="220">
        <f t="shared" si="5"/>
        <v>1244</v>
      </c>
      <c r="K83" s="4">
        <f t="shared" si="8"/>
        <v>1181.8</v>
      </c>
      <c r="L83" s="221">
        <f t="shared" si="9"/>
        <v>1306.2</v>
      </c>
      <c r="M83" s="4">
        <f>ROUND(1185*1.05,0)</f>
        <v>1244</v>
      </c>
      <c r="N83" s="222">
        <f t="shared" si="0"/>
        <v>1036.67</v>
      </c>
      <c r="O83" s="153"/>
      <c r="P83" s="154">
        <v>879.66</v>
      </c>
      <c r="Q83" s="57">
        <v>1008</v>
      </c>
    </row>
    <row r="84" spans="1:17" ht="18.75">
      <c r="A84" s="669"/>
      <c r="B84" s="397"/>
      <c r="C84" s="784" t="s">
        <v>109</v>
      </c>
      <c r="D84" s="119" t="s">
        <v>78</v>
      </c>
      <c r="E84" s="636"/>
      <c r="F84" s="295">
        <v>60</v>
      </c>
      <c r="G84" s="306">
        <v>12.9</v>
      </c>
      <c r="H84" s="286">
        <v>1777</v>
      </c>
      <c r="I84" s="131">
        <v>11</v>
      </c>
      <c r="J84" s="214">
        <f t="shared" si="5"/>
        <v>1107</v>
      </c>
      <c r="K84" s="215">
        <f t="shared" si="8"/>
        <v>1051.6499999999999</v>
      </c>
      <c r="L84" s="216">
        <f t="shared" si="9"/>
        <v>1162.3500000000001</v>
      </c>
      <c r="M84" s="215">
        <f>ROUND(1054*1.05,0)</f>
        <v>1107</v>
      </c>
      <c r="N84" s="217">
        <f t="shared" si="0"/>
        <v>922.5</v>
      </c>
      <c r="O84" s="153"/>
      <c r="P84" s="154">
        <v>782.2</v>
      </c>
      <c r="Q84" s="59">
        <v>896</v>
      </c>
    </row>
    <row r="85" spans="1:17" ht="19.5" thickBot="1">
      <c r="A85" s="669"/>
      <c r="B85" s="256"/>
      <c r="C85" s="785"/>
      <c r="D85" s="172"/>
      <c r="E85" s="636"/>
      <c r="F85" s="296">
        <v>80</v>
      </c>
      <c r="G85" s="307">
        <v>10.75</v>
      </c>
      <c r="H85" s="288">
        <v>1973</v>
      </c>
      <c r="I85" s="54">
        <v>10</v>
      </c>
      <c r="J85" s="220">
        <f t="shared" si="5"/>
        <v>1244</v>
      </c>
      <c r="K85" s="4">
        <f t="shared" si="8"/>
        <v>1181.8</v>
      </c>
      <c r="L85" s="221">
        <f t="shared" si="9"/>
        <v>1306.2</v>
      </c>
      <c r="M85" s="4">
        <f>ROUND(1185*1.05,0)</f>
        <v>1244</v>
      </c>
      <c r="N85" s="222">
        <f t="shared" si="0"/>
        <v>1036.67</v>
      </c>
      <c r="O85" s="153"/>
      <c r="P85" s="154">
        <v>879.66</v>
      </c>
      <c r="Q85" s="57">
        <v>1008</v>
      </c>
    </row>
    <row r="86" spans="1:17" ht="18.75">
      <c r="A86" s="669"/>
      <c r="B86" s="302"/>
      <c r="C86" s="784" t="s">
        <v>97</v>
      </c>
      <c r="D86" s="119" t="s">
        <v>78</v>
      </c>
      <c r="E86" s="636"/>
      <c r="F86" s="295">
        <v>60</v>
      </c>
      <c r="G86" s="306">
        <v>12.9</v>
      </c>
      <c r="H86" s="286">
        <v>1777</v>
      </c>
      <c r="I86" s="131">
        <v>11</v>
      </c>
      <c r="J86" s="214">
        <f t="shared" si="5"/>
        <v>1107</v>
      </c>
      <c r="K86" s="215">
        <f t="shared" si="8"/>
        <v>1051.6499999999999</v>
      </c>
      <c r="L86" s="216">
        <f t="shared" si="9"/>
        <v>1162.3500000000001</v>
      </c>
      <c r="M86" s="215">
        <f>ROUND(1054*1.05,0)</f>
        <v>1107</v>
      </c>
      <c r="N86" s="217">
        <f t="shared" si="0"/>
        <v>922.5</v>
      </c>
      <c r="O86" s="153"/>
      <c r="P86" s="154">
        <v>782.2</v>
      </c>
      <c r="Q86" s="58">
        <v>896</v>
      </c>
    </row>
    <row r="87" spans="1:17" ht="19.5" thickBot="1">
      <c r="A87" s="669"/>
      <c r="B87" s="256"/>
      <c r="C87" s="785"/>
      <c r="D87" s="172"/>
      <c r="E87" s="636"/>
      <c r="F87" s="296">
        <v>80</v>
      </c>
      <c r="G87" s="307">
        <v>10.75</v>
      </c>
      <c r="H87" s="288">
        <v>1973</v>
      </c>
      <c r="I87" s="54">
        <v>10</v>
      </c>
      <c r="J87" s="220">
        <f t="shared" si="5"/>
        <v>1244</v>
      </c>
      <c r="K87" s="4">
        <f t="shared" si="8"/>
        <v>1181.8</v>
      </c>
      <c r="L87" s="221">
        <f t="shared" si="9"/>
        <v>1306.2</v>
      </c>
      <c r="M87" s="4">
        <f>ROUND(1185*1.05,0)</f>
        <v>1244</v>
      </c>
      <c r="N87" s="222">
        <f t="shared" si="0"/>
        <v>1036.67</v>
      </c>
      <c r="O87" s="153"/>
      <c r="P87" s="154">
        <v>879.66</v>
      </c>
      <c r="Q87" s="57">
        <v>1008</v>
      </c>
    </row>
    <row r="88" spans="1:17" ht="18.75">
      <c r="A88" s="669"/>
      <c r="B88" s="302"/>
      <c r="C88" s="784" t="s">
        <v>96</v>
      </c>
      <c r="D88" s="119" t="s">
        <v>78</v>
      </c>
      <c r="E88" s="636"/>
      <c r="F88" s="295">
        <v>60</v>
      </c>
      <c r="G88" s="306">
        <v>12.9</v>
      </c>
      <c r="H88" s="286">
        <v>1777</v>
      </c>
      <c r="I88" s="131">
        <v>11</v>
      </c>
      <c r="J88" s="214">
        <f t="shared" si="5"/>
        <v>1107</v>
      </c>
      <c r="K88" s="215">
        <f t="shared" si="8"/>
        <v>1051.6499999999999</v>
      </c>
      <c r="L88" s="216">
        <f t="shared" si="9"/>
        <v>1162.3500000000001</v>
      </c>
      <c r="M88" s="215">
        <f>ROUND(1054*1.05,0)</f>
        <v>1107</v>
      </c>
      <c r="N88" s="217">
        <f t="shared" si="0"/>
        <v>922.5</v>
      </c>
      <c r="O88" s="153"/>
      <c r="P88" s="154">
        <v>782.2</v>
      </c>
      <c r="Q88" s="58">
        <v>896</v>
      </c>
    </row>
    <row r="89" spans="1:17" ht="19.5" thickBot="1">
      <c r="A89" s="669"/>
      <c r="B89" s="256"/>
      <c r="C89" s="785"/>
      <c r="D89" s="172"/>
      <c r="E89" s="636"/>
      <c r="F89" s="296">
        <v>80</v>
      </c>
      <c r="G89" s="307">
        <v>10.75</v>
      </c>
      <c r="H89" s="288">
        <v>1973</v>
      </c>
      <c r="I89" s="54">
        <v>10</v>
      </c>
      <c r="J89" s="220">
        <f t="shared" si="5"/>
        <v>1244</v>
      </c>
      <c r="K89" s="4">
        <f t="shared" si="8"/>
        <v>1181.8</v>
      </c>
      <c r="L89" s="221">
        <f t="shared" si="9"/>
        <v>1306.2</v>
      </c>
      <c r="M89" s="4">
        <f>ROUND(1185*1.05,0)</f>
        <v>1244</v>
      </c>
      <c r="N89" s="222">
        <f t="shared" si="0"/>
        <v>1036.67</v>
      </c>
      <c r="O89" s="153"/>
      <c r="P89" s="154">
        <v>879.66</v>
      </c>
      <c r="Q89" s="57">
        <v>1008</v>
      </c>
    </row>
    <row r="90" spans="1:17" ht="18.75">
      <c r="A90" s="669"/>
      <c r="B90" s="302"/>
      <c r="C90" s="784" t="s">
        <v>93</v>
      </c>
      <c r="D90" s="119" t="s">
        <v>78</v>
      </c>
      <c r="E90" s="636"/>
      <c r="F90" s="295">
        <v>60</v>
      </c>
      <c r="G90" s="306">
        <v>12.9</v>
      </c>
      <c r="H90" s="286">
        <v>1777</v>
      </c>
      <c r="I90" s="131">
        <v>11</v>
      </c>
      <c r="J90" s="214">
        <f t="shared" si="5"/>
        <v>1107</v>
      </c>
      <c r="K90" s="215">
        <f t="shared" si="8"/>
        <v>1051.6499999999999</v>
      </c>
      <c r="L90" s="216">
        <f t="shared" si="9"/>
        <v>1162.3500000000001</v>
      </c>
      <c r="M90" s="215">
        <f>ROUND(1054*1.05,0)</f>
        <v>1107</v>
      </c>
      <c r="N90" s="217">
        <f t="shared" si="0"/>
        <v>922.5</v>
      </c>
      <c r="O90" s="153"/>
      <c r="P90" s="154">
        <v>782.2</v>
      </c>
      <c r="Q90" s="58">
        <v>896</v>
      </c>
    </row>
    <row r="91" spans="1:17" ht="19.5" thickBot="1">
      <c r="A91" s="669"/>
      <c r="B91" s="394"/>
      <c r="C91" s="785"/>
      <c r="D91" s="172"/>
      <c r="E91" s="636"/>
      <c r="F91" s="296">
        <v>80</v>
      </c>
      <c r="G91" s="307">
        <v>10.75</v>
      </c>
      <c r="H91" s="288">
        <v>1973</v>
      </c>
      <c r="I91" s="54">
        <v>10</v>
      </c>
      <c r="J91" s="220">
        <f t="shared" si="5"/>
        <v>1244</v>
      </c>
      <c r="K91" s="4">
        <f t="shared" si="8"/>
        <v>1181.8</v>
      </c>
      <c r="L91" s="221">
        <f t="shared" si="9"/>
        <v>1306.2</v>
      </c>
      <c r="M91" s="4">
        <f>ROUND(1185*1.05,0)</f>
        <v>1244</v>
      </c>
      <c r="N91" s="222">
        <f t="shared" si="0"/>
        <v>1036.67</v>
      </c>
      <c r="O91" s="153"/>
      <c r="P91" s="154">
        <v>879.66</v>
      </c>
      <c r="Q91" s="57">
        <v>1008</v>
      </c>
    </row>
    <row r="92" spans="1:17" ht="18.75">
      <c r="A92" s="669"/>
      <c r="B92" s="397"/>
      <c r="C92" s="784" t="s">
        <v>94</v>
      </c>
      <c r="D92" s="119" t="s">
        <v>78</v>
      </c>
      <c r="E92" s="636"/>
      <c r="F92" s="295">
        <v>60</v>
      </c>
      <c r="G92" s="306">
        <v>12.9</v>
      </c>
      <c r="H92" s="286">
        <v>1777</v>
      </c>
      <c r="I92" s="131">
        <v>11</v>
      </c>
      <c r="J92" s="214">
        <f t="shared" si="5"/>
        <v>1107</v>
      </c>
      <c r="K92" s="215">
        <f t="shared" si="8"/>
        <v>1051.6499999999999</v>
      </c>
      <c r="L92" s="216">
        <f t="shared" si="9"/>
        <v>1162.3500000000001</v>
      </c>
      <c r="M92" s="215">
        <f>ROUND(1054*1.05,0)</f>
        <v>1107</v>
      </c>
      <c r="N92" s="217">
        <f t="shared" si="0"/>
        <v>922.5</v>
      </c>
      <c r="O92" s="153"/>
      <c r="P92" s="154">
        <v>782.2</v>
      </c>
      <c r="Q92" s="60">
        <v>896</v>
      </c>
    </row>
    <row r="93" spans="1:17" ht="19.5" thickBot="1">
      <c r="A93" s="669"/>
      <c r="B93" s="394"/>
      <c r="C93" s="785"/>
      <c r="D93" s="172"/>
      <c r="E93" s="636"/>
      <c r="F93" s="296">
        <v>80</v>
      </c>
      <c r="G93" s="307">
        <v>10.75</v>
      </c>
      <c r="H93" s="288">
        <v>1973</v>
      </c>
      <c r="I93" s="54">
        <v>10</v>
      </c>
      <c r="J93" s="220">
        <f t="shared" si="5"/>
        <v>1244</v>
      </c>
      <c r="K93" s="4">
        <f t="shared" si="8"/>
        <v>1181.8</v>
      </c>
      <c r="L93" s="221">
        <f t="shared" si="9"/>
        <v>1306.2</v>
      </c>
      <c r="M93" s="4">
        <f>ROUND(1185*1.05,0)</f>
        <v>1244</v>
      </c>
      <c r="N93" s="222">
        <f t="shared" si="0"/>
        <v>1036.67</v>
      </c>
      <c r="O93" s="153"/>
      <c r="P93" s="154">
        <v>879.66</v>
      </c>
      <c r="Q93" s="57">
        <v>1008</v>
      </c>
    </row>
    <row r="94" spans="1:17" ht="18.75">
      <c r="A94" s="669"/>
      <c r="B94" s="397"/>
      <c r="C94" s="784" t="s">
        <v>112</v>
      </c>
      <c r="D94" s="119" t="s">
        <v>78</v>
      </c>
      <c r="E94" s="636"/>
      <c r="F94" s="295">
        <v>60</v>
      </c>
      <c r="G94" s="306">
        <v>12.9</v>
      </c>
      <c r="H94" s="286">
        <v>1777</v>
      </c>
      <c r="I94" s="131">
        <v>11</v>
      </c>
      <c r="J94" s="214">
        <f>ROUND(M94+M94*R94,0)</f>
        <v>1107</v>
      </c>
      <c r="K94" s="215">
        <f>J94*0.95</f>
        <v>1051.6499999999999</v>
      </c>
      <c r="L94" s="216">
        <f>M94*1.05</f>
        <v>1162.3500000000001</v>
      </c>
      <c r="M94" s="215">
        <f>ROUND(1054*1.05,0)</f>
        <v>1107</v>
      </c>
      <c r="N94" s="217">
        <f>ROUND(M94/1.2,2)</f>
        <v>922.5</v>
      </c>
      <c r="O94" s="153"/>
      <c r="P94" s="154"/>
      <c r="Q94" s="60">
        <v>896</v>
      </c>
    </row>
    <row r="95" spans="1:17" ht="19.5" thickBot="1">
      <c r="A95" s="669"/>
      <c r="B95" s="394"/>
      <c r="C95" s="785"/>
      <c r="D95" s="172"/>
      <c r="E95" s="636"/>
      <c r="F95" s="296">
        <v>80</v>
      </c>
      <c r="G95" s="307">
        <v>10.75</v>
      </c>
      <c r="H95" s="288">
        <v>1973</v>
      </c>
      <c r="I95" s="54">
        <v>10</v>
      </c>
      <c r="J95" s="220">
        <f>ROUND(M95+M95*R95,0)</f>
        <v>1244</v>
      </c>
      <c r="K95" s="4">
        <f>J95*0.95</f>
        <v>1181.8</v>
      </c>
      <c r="L95" s="221">
        <f>M95*1.05</f>
        <v>1306.2</v>
      </c>
      <c r="M95" s="4">
        <f>ROUND(1185*1.05,0)</f>
        <v>1244</v>
      </c>
      <c r="N95" s="222">
        <f>ROUND(M95/1.2,2)</f>
        <v>1036.67</v>
      </c>
      <c r="O95" s="153"/>
      <c r="P95" s="154"/>
      <c r="Q95" s="57">
        <v>1008</v>
      </c>
    </row>
    <row r="96" spans="1:17" ht="18.75">
      <c r="A96" s="669"/>
      <c r="B96" s="397"/>
      <c r="C96" s="784" t="s">
        <v>133</v>
      </c>
      <c r="D96" s="119" t="s">
        <v>78</v>
      </c>
      <c r="E96" s="636"/>
      <c r="F96" s="295">
        <v>60</v>
      </c>
      <c r="G96" s="306">
        <v>12.9</v>
      </c>
      <c r="H96" s="286">
        <v>1777</v>
      </c>
      <c r="I96" s="131">
        <v>11</v>
      </c>
      <c r="J96" s="214">
        <f>ROUND(M96+M96*R96,0)</f>
        <v>1107</v>
      </c>
      <c r="K96" s="215">
        <f>J96*0.95</f>
        <v>1051.6499999999999</v>
      </c>
      <c r="L96" s="216">
        <f>M96*1.05</f>
        <v>1162.3500000000001</v>
      </c>
      <c r="M96" s="215">
        <f>ROUND(1054*1.05,0)</f>
        <v>1107</v>
      </c>
      <c r="N96" s="217">
        <f>ROUND(M96/1.2,2)</f>
        <v>922.5</v>
      </c>
      <c r="O96" s="153"/>
      <c r="P96" s="154"/>
      <c r="Q96" s="60">
        <v>896</v>
      </c>
    </row>
    <row r="97" spans="1:17" ht="19.5" thickBot="1">
      <c r="A97" s="669"/>
      <c r="B97" s="394"/>
      <c r="C97" s="785"/>
      <c r="D97" s="172"/>
      <c r="E97" s="636"/>
      <c r="F97" s="296">
        <v>80</v>
      </c>
      <c r="G97" s="307">
        <v>10.75</v>
      </c>
      <c r="H97" s="288">
        <v>1973</v>
      </c>
      <c r="I97" s="54">
        <v>10</v>
      </c>
      <c r="J97" s="220">
        <f>ROUND(M97+M97*R97,0)</f>
        <v>1244</v>
      </c>
      <c r="K97" s="4">
        <f>J97*0.95</f>
        <v>1181.8</v>
      </c>
      <c r="L97" s="221">
        <f>M97*1.05</f>
        <v>1306.2</v>
      </c>
      <c r="M97" s="4">
        <f>ROUND(1185*1.05,0)</f>
        <v>1244</v>
      </c>
      <c r="N97" s="222">
        <f>ROUND(M97/1.2,2)</f>
        <v>1036.67</v>
      </c>
      <c r="O97" s="153"/>
      <c r="P97" s="154"/>
      <c r="Q97" s="57">
        <v>1008</v>
      </c>
    </row>
    <row r="98" spans="1:17" ht="18.75">
      <c r="A98" s="669"/>
      <c r="B98" s="390"/>
      <c r="C98" s="792" t="s">
        <v>95</v>
      </c>
      <c r="D98" s="237" t="s">
        <v>78</v>
      </c>
      <c r="E98" s="636"/>
      <c r="F98" s="295">
        <v>60</v>
      </c>
      <c r="G98" s="306">
        <v>12.9</v>
      </c>
      <c r="H98" s="286">
        <v>1777</v>
      </c>
      <c r="I98" s="131">
        <v>11</v>
      </c>
      <c r="J98" s="214">
        <f t="shared" si="5"/>
        <v>1107</v>
      </c>
      <c r="K98" s="215">
        <f t="shared" si="8"/>
        <v>1051.6499999999999</v>
      </c>
      <c r="L98" s="216">
        <f t="shared" si="9"/>
        <v>1162.3500000000001</v>
      </c>
      <c r="M98" s="215">
        <f>ROUND(1054*1.05,0)</f>
        <v>1107</v>
      </c>
      <c r="N98" s="217">
        <f t="shared" si="0"/>
        <v>922.5</v>
      </c>
      <c r="O98" s="153"/>
      <c r="P98" s="154">
        <v>782.2</v>
      </c>
      <c r="Q98" s="60">
        <v>896</v>
      </c>
    </row>
    <row r="99" spans="1:17" ht="19.5" thickBot="1">
      <c r="A99" s="670"/>
      <c r="B99" s="256"/>
      <c r="C99" s="785"/>
      <c r="D99" s="172"/>
      <c r="E99" s="637"/>
      <c r="F99" s="296">
        <v>80</v>
      </c>
      <c r="G99" s="307">
        <v>10.75</v>
      </c>
      <c r="H99" s="288">
        <v>1973</v>
      </c>
      <c r="I99" s="54">
        <v>10</v>
      </c>
      <c r="J99" s="220">
        <f t="shared" si="5"/>
        <v>1244</v>
      </c>
      <c r="K99" s="4">
        <f t="shared" si="8"/>
        <v>1181.8</v>
      </c>
      <c r="L99" s="221">
        <f t="shared" si="9"/>
        <v>1306.2</v>
      </c>
      <c r="M99" s="4">
        <f>ROUND(1185*1.05,0)</f>
        <v>1244</v>
      </c>
      <c r="N99" s="222">
        <f t="shared" si="0"/>
        <v>1036.67</v>
      </c>
      <c r="O99" s="153"/>
      <c r="P99" s="154">
        <v>879.66</v>
      </c>
      <c r="Q99" s="57">
        <v>1008</v>
      </c>
    </row>
    <row r="100" spans="1:17" ht="15.75" thickBot="1">
      <c r="A100" s="603" t="s">
        <v>57</v>
      </c>
      <c r="B100" s="604"/>
      <c r="C100" s="604"/>
      <c r="D100" s="604"/>
      <c r="E100" s="604"/>
      <c r="F100" s="604"/>
      <c r="G100" s="604"/>
      <c r="H100" s="604"/>
      <c r="I100" s="604"/>
      <c r="J100" s="604"/>
      <c r="K100" s="604"/>
      <c r="L100" s="604"/>
      <c r="M100" s="604"/>
      <c r="N100" s="605"/>
      <c r="O100" s="153"/>
      <c r="P100" s="154">
        <v>0</v>
      </c>
      <c r="Q100" s="26"/>
    </row>
    <row r="101" spans="1:17" ht="60">
      <c r="A101" s="741">
        <v>11</v>
      </c>
      <c r="B101" s="233"/>
      <c r="C101" s="171" t="s">
        <v>125</v>
      </c>
      <c r="D101" s="115" t="s">
        <v>78</v>
      </c>
      <c r="E101" s="782" t="s">
        <v>58</v>
      </c>
      <c r="F101" s="619">
        <v>40</v>
      </c>
      <c r="G101" s="388">
        <v>20.74</v>
      </c>
      <c r="H101" s="164">
        <v>1903</v>
      </c>
      <c r="I101" s="166">
        <v>10</v>
      </c>
      <c r="J101" s="260">
        <f>M101*1.3</f>
        <v>1116.7</v>
      </c>
      <c r="K101" s="261">
        <f>J101*0.95</f>
        <v>1060.865</v>
      </c>
      <c r="L101" s="215">
        <f>M101*1.05</f>
        <v>901.95</v>
      </c>
      <c r="M101" s="262">
        <f>ROUND(818*1.05,0)</f>
        <v>859</v>
      </c>
      <c r="N101" s="263">
        <f t="shared" si="0"/>
        <v>715.83</v>
      </c>
      <c r="O101" s="153"/>
      <c r="P101" s="154"/>
      <c r="Q101" s="52"/>
    </row>
    <row r="102" spans="1:17" ht="75">
      <c r="A102" s="741"/>
      <c r="B102" s="233"/>
      <c r="C102" s="171" t="s">
        <v>123</v>
      </c>
      <c r="D102" s="115" t="s">
        <v>78</v>
      </c>
      <c r="E102" s="782"/>
      <c r="F102" s="636"/>
      <c r="G102" s="388">
        <v>20.74</v>
      </c>
      <c r="H102" s="164">
        <v>1903</v>
      </c>
      <c r="I102" s="166">
        <v>10</v>
      </c>
      <c r="J102" s="264">
        <f>M102*1.3</f>
        <v>1116.7</v>
      </c>
      <c r="K102" s="265">
        <f>J102*0.95</f>
        <v>1060.865</v>
      </c>
      <c r="L102" s="3">
        <f>M102*1.05</f>
        <v>901.95</v>
      </c>
      <c r="M102" s="266">
        <f>ROUND(818*1.05,0)</f>
        <v>859</v>
      </c>
      <c r="N102" s="267">
        <f t="shared" si="0"/>
        <v>715.83</v>
      </c>
      <c r="O102" s="153"/>
      <c r="P102" s="154"/>
      <c r="Q102" s="52"/>
    </row>
    <row r="103" spans="1:17" ht="60">
      <c r="A103" s="741"/>
      <c r="B103" s="233"/>
      <c r="C103" s="171" t="s">
        <v>124</v>
      </c>
      <c r="D103" s="115" t="s">
        <v>78</v>
      </c>
      <c r="E103" s="782"/>
      <c r="F103" s="636"/>
      <c r="G103" s="388">
        <v>20.74</v>
      </c>
      <c r="H103" s="164">
        <v>1903</v>
      </c>
      <c r="I103" s="166">
        <v>10</v>
      </c>
      <c r="J103" s="264">
        <f>M103*1.3</f>
        <v>1116.7</v>
      </c>
      <c r="K103" s="265">
        <f>J103*0.95</f>
        <v>1060.865</v>
      </c>
      <c r="L103" s="3">
        <f>M103*1.05</f>
        <v>901.95</v>
      </c>
      <c r="M103" s="266">
        <f>ROUND(818*1.05,0)</f>
        <v>859</v>
      </c>
      <c r="N103" s="267">
        <f t="shared" si="0"/>
        <v>715.83</v>
      </c>
      <c r="O103" s="153"/>
      <c r="P103" s="154"/>
      <c r="Q103" s="52"/>
    </row>
    <row r="104" spans="1:17" ht="60.75" thickBot="1">
      <c r="A104" s="689"/>
      <c r="B104" s="184"/>
      <c r="C104" s="171" t="s">
        <v>68</v>
      </c>
      <c r="D104" s="115" t="s">
        <v>78</v>
      </c>
      <c r="E104" s="782"/>
      <c r="F104" s="637"/>
      <c r="G104" s="388">
        <v>20.74</v>
      </c>
      <c r="H104" s="164">
        <v>1903</v>
      </c>
      <c r="I104" s="166">
        <v>10</v>
      </c>
      <c r="J104" s="268">
        <f>M104*1.3</f>
        <v>1116.7</v>
      </c>
      <c r="K104" s="269">
        <f>J104*0.95</f>
        <v>1060.865</v>
      </c>
      <c r="L104" s="4">
        <f>M104*1.05</f>
        <v>901.95</v>
      </c>
      <c r="M104" s="270">
        <f>ROUND(818*1.05,0)</f>
        <v>859</v>
      </c>
      <c r="N104" s="271">
        <f>ROUND(M104/1.2,2)</f>
        <v>715.83</v>
      </c>
      <c r="O104" s="153"/>
      <c r="P104" s="154">
        <v>782.2</v>
      </c>
      <c r="Q104" s="55">
        <v>896</v>
      </c>
    </row>
    <row r="105" spans="1:17" ht="15.75" thickBot="1">
      <c r="A105" s="656" t="s">
        <v>121</v>
      </c>
      <c r="B105" s="657"/>
      <c r="C105" s="657"/>
      <c r="D105" s="657"/>
      <c r="E105" s="657"/>
      <c r="F105" s="657"/>
      <c r="G105" s="657"/>
      <c r="H105" s="657"/>
      <c r="I105" s="657"/>
      <c r="J105" s="657"/>
      <c r="K105" s="657"/>
      <c r="L105" s="657"/>
      <c r="M105" s="657"/>
      <c r="N105" s="783"/>
      <c r="O105" s="153"/>
      <c r="P105" s="154"/>
      <c r="Q105" s="60"/>
    </row>
    <row r="106" spans="1:17" ht="75">
      <c r="A106" s="613">
        <v>12</v>
      </c>
      <c r="B106" s="308"/>
      <c r="C106" s="169" t="s">
        <v>101</v>
      </c>
      <c r="D106" s="114"/>
      <c r="E106" s="674" t="s">
        <v>122</v>
      </c>
      <c r="F106" s="619">
        <v>60</v>
      </c>
      <c r="G106" s="414">
        <v>13.18</v>
      </c>
      <c r="H106" s="160">
        <v>1815</v>
      </c>
      <c r="I106" s="161">
        <v>11</v>
      </c>
      <c r="J106" s="260">
        <f>M106*1.3</f>
        <v>1480.7</v>
      </c>
      <c r="K106" s="261">
        <f>J106*0.95</f>
        <v>1406.665</v>
      </c>
      <c r="L106" s="262">
        <f>M106*1.05</f>
        <v>1195.95</v>
      </c>
      <c r="M106" s="261">
        <f>ROUND(1085*1.05,0)</f>
        <v>1139</v>
      </c>
      <c r="N106" s="272">
        <f>M106/1.2</f>
        <v>949.16666666666674</v>
      </c>
      <c r="O106" s="153"/>
      <c r="P106" s="154"/>
      <c r="Q106" s="60"/>
    </row>
    <row r="107" spans="1:17" ht="45.75" thickBot="1">
      <c r="A107" s="615"/>
      <c r="B107" s="309"/>
      <c r="C107" s="170" t="s">
        <v>92</v>
      </c>
      <c r="D107" s="172"/>
      <c r="E107" s="675"/>
      <c r="F107" s="637"/>
      <c r="G107" s="415">
        <v>13.18</v>
      </c>
      <c r="H107" s="162">
        <v>1815</v>
      </c>
      <c r="I107" s="163">
        <v>11</v>
      </c>
      <c r="J107" s="268">
        <f>M107*1.3</f>
        <v>1480.7</v>
      </c>
      <c r="K107" s="269">
        <f>J107*0.95</f>
        <v>1406.665</v>
      </c>
      <c r="L107" s="270">
        <f>M107*1.05</f>
        <v>1195.95</v>
      </c>
      <c r="M107" s="269">
        <f>ROUND(1085*1.05,0)</f>
        <v>1139</v>
      </c>
      <c r="N107" s="273">
        <f>M107/1.2</f>
        <v>949.16666666666674</v>
      </c>
      <c r="O107" s="153"/>
      <c r="P107" s="154"/>
      <c r="Q107" s="60"/>
    </row>
    <row r="108" spans="1:17" ht="15.75" thickBot="1">
      <c r="A108" s="603" t="s">
        <v>34</v>
      </c>
      <c r="B108" s="604"/>
      <c r="C108" s="604"/>
      <c r="D108" s="604"/>
      <c r="E108" s="604"/>
      <c r="F108" s="604"/>
      <c r="G108" s="604"/>
      <c r="H108" s="604"/>
      <c r="I108" s="604"/>
      <c r="J108" s="604"/>
      <c r="K108" s="604"/>
      <c r="L108" s="604"/>
      <c r="M108" s="604"/>
      <c r="N108" s="605"/>
      <c r="O108" s="153"/>
      <c r="P108" s="154">
        <v>0</v>
      </c>
      <c r="Q108" s="64"/>
    </row>
    <row r="109" spans="1:17" ht="18.75">
      <c r="A109" s="614">
        <v>13</v>
      </c>
      <c r="B109" s="680"/>
      <c r="C109" s="681" t="s">
        <v>6</v>
      </c>
      <c r="D109" s="401" t="s">
        <v>78</v>
      </c>
      <c r="E109" s="676" t="s">
        <v>42</v>
      </c>
      <c r="F109" s="295">
        <v>40</v>
      </c>
      <c r="G109" s="203">
        <v>19.440000000000001</v>
      </c>
      <c r="H109" s="135">
        <v>1781</v>
      </c>
      <c r="I109" s="136">
        <v>11</v>
      </c>
      <c r="J109" s="214">
        <f t="shared" ref="J109:J125" si="10">ROUND(M109+M109*R109,0)</f>
        <v>546</v>
      </c>
      <c r="K109" s="215">
        <f t="shared" ref="K109:K120" si="11">ROUND(J109-(J109*S109),0)</f>
        <v>546</v>
      </c>
      <c r="L109" s="216">
        <f>M109*1.03</f>
        <v>562.38</v>
      </c>
      <c r="M109" s="215">
        <f>ROUND(520*1.05,0)</f>
        <v>546</v>
      </c>
      <c r="N109" s="217">
        <f t="shared" si="0"/>
        <v>455</v>
      </c>
      <c r="O109" s="153"/>
      <c r="P109" s="154">
        <v>361.02</v>
      </c>
      <c r="Q109" s="19">
        <v>406</v>
      </c>
    </row>
    <row r="110" spans="1:17" ht="18.75">
      <c r="A110" s="614"/>
      <c r="B110" s="680"/>
      <c r="C110" s="681"/>
      <c r="D110" s="399" t="s">
        <v>78</v>
      </c>
      <c r="E110" s="759"/>
      <c r="F110" s="283">
        <v>60</v>
      </c>
      <c r="G110" s="204">
        <v>12.96</v>
      </c>
      <c r="H110" s="137">
        <v>1785</v>
      </c>
      <c r="I110" s="138">
        <v>11</v>
      </c>
      <c r="J110" s="218">
        <f t="shared" si="10"/>
        <v>656</v>
      </c>
      <c r="K110" s="3">
        <f t="shared" si="11"/>
        <v>656</v>
      </c>
      <c r="L110" s="41">
        <f>M110*1.03</f>
        <v>675.68000000000006</v>
      </c>
      <c r="M110" s="3">
        <f>ROUND(625*1.05,0)</f>
        <v>656</v>
      </c>
      <c r="N110" s="219">
        <f t="shared" si="0"/>
        <v>546.66999999999996</v>
      </c>
      <c r="O110" s="153"/>
      <c r="P110" s="154">
        <v>433.9</v>
      </c>
      <c r="Q110" s="19">
        <v>488</v>
      </c>
    </row>
    <row r="111" spans="1:17" ht="19.5" thickBot="1">
      <c r="A111" s="614"/>
      <c r="B111" s="680"/>
      <c r="C111" s="681"/>
      <c r="D111" s="402"/>
      <c r="E111" s="677"/>
      <c r="F111" s="296">
        <v>80</v>
      </c>
      <c r="G111" s="157">
        <v>10.8</v>
      </c>
      <c r="H111" s="139">
        <v>1982</v>
      </c>
      <c r="I111" s="140">
        <v>10</v>
      </c>
      <c r="J111" s="220">
        <f t="shared" si="10"/>
        <v>793</v>
      </c>
      <c r="K111" s="4">
        <f t="shared" si="11"/>
        <v>793</v>
      </c>
      <c r="L111" s="221">
        <f>M111*1.03</f>
        <v>816.79000000000008</v>
      </c>
      <c r="M111" s="4">
        <f>ROUND(755*1.05,0)</f>
        <v>793</v>
      </c>
      <c r="N111" s="222">
        <f t="shared" ref="N111:N120" si="12">ROUND(M111/1.2,2)</f>
        <v>660.83</v>
      </c>
      <c r="O111" s="153"/>
      <c r="P111" s="154">
        <v>523.73</v>
      </c>
      <c r="Q111" s="55">
        <v>589</v>
      </c>
    </row>
    <row r="112" spans="1:17" ht="19.5" thickBot="1">
      <c r="A112" s="614"/>
      <c r="B112" s="322"/>
      <c r="C112" s="682"/>
      <c r="D112" s="251"/>
      <c r="E112" s="282" t="s">
        <v>20</v>
      </c>
      <c r="F112" s="282">
        <v>70</v>
      </c>
      <c r="G112" s="280">
        <v>12.67</v>
      </c>
      <c r="H112" s="352">
        <v>2046</v>
      </c>
      <c r="I112" s="400">
        <v>9</v>
      </c>
      <c r="J112" s="111">
        <v>788</v>
      </c>
      <c r="K112" s="278">
        <v>764</v>
      </c>
      <c r="L112" s="112">
        <v>737.48</v>
      </c>
      <c r="M112" s="278">
        <v>716</v>
      </c>
      <c r="N112" s="113">
        <v>596.66999999999996</v>
      </c>
      <c r="O112" s="153"/>
      <c r="P112" s="154"/>
      <c r="Q112" s="55"/>
    </row>
    <row r="113" spans="1:17" ht="18.75">
      <c r="A113" s="614"/>
      <c r="B113" s="760"/>
      <c r="C113" s="659" t="s">
        <v>38</v>
      </c>
      <c r="D113" s="115" t="s">
        <v>78</v>
      </c>
      <c r="E113" s="676" t="s">
        <v>42</v>
      </c>
      <c r="F113" s="295">
        <v>40</v>
      </c>
      <c r="G113" s="203">
        <v>19.440000000000001</v>
      </c>
      <c r="H113" s="135">
        <v>1781</v>
      </c>
      <c r="I113" s="136">
        <v>11</v>
      </c>
      <c r="J113" s="214">
        <f t="shared" si="10"/>
        <v>618</v>
      </c>
      <c r="K113" s="215">
        <f t="shared" si="11"/>
        <v>618</v>
      </c>
      <c r="L113" s="216">
        <f>M113*1.04</f>
        <v>642.72</v>
      </c>
      <c r="M113" s="215">
        <f>ROUND(589*1.05,0)</f>
        <v>618</v>
      </c>
      <c r="N113" s="217">
        <f t="shared" si="12"/>
        <v>515</v>
      </c>
      <c r="O113" s="153"/>
      <c r="P113" s="154">
        <v>407.63</v>
      </c>
      <c r="Q113" s="19">
        <v>458</v>
      </c>
    </row>
    <row r="114" spans="1:17" ht="19.5" thickBot="1">
      <c r="A114" s="614"/>
      <c r="B114" s="761"/>
      <c r="C114" s="660"/>
      <c r="D114" s="312" t="s">
        <v>78</v>
      </c>
      <c r="E114" s="677"/>
      <c r="F114" s="296">
        <v>60</v>
      </c>
      <c r="G114" s="157">
        <v>12.96</v>
      </c>
      <c r="H114" s="139">
        <v>1785</v>
      </c>
      <c r="I114" s="140">
        <v>11</v>
      </c>
      <c r="J114" s="220">
        <f t="shared" si="10"/>
        <v>758</v>
      </c>
      <c r="K114" s="4">
        <f t="shared" si="11"/>
        <v>758</v>
      </c>
      <c r="L114" s="221">
        <f t="shared" ref="L114:L120" si="13">M114*1.04</f>
        <v>788.32</v>
      </c>
      <c r="M114" s="4">
        <f>ROUND(722*1.05,0)</f>
        <v>758</v>
      </c>
      <c r="N114" s="222">
        <f t="shared" si="12"/>
        <v>631.66999999999996</v>
      </c>
      <c r="O114" s="153"/>
      <c r="P114" s="154">
        <v>501.69</v>
      </c>
      <c r="Q114" s="19">
        <v>564</v>
      </c>
    </row>
    <row r="115" spans="1:17" ht="18.75">
      <c r="A115" s="614"/>
      <c r="B115" s="479"/>
      <c r="C115" s="762" t="s">
        <v>12</v>
      </c>
      <c r="D115" s="114" t="s">
        <v>78</v>
      </c>
      <c r="E115" s="676" t="s">
        <v>42</v>
      </c>
      <c r="F115" s="295">
        <v>40</v>
      </c>
      <c r="G115" s="203">
        <v>19.440000000000001</v>
      </c>
      <c r="H115" s="135">
        <v>1781</v>
      </c>
      <c r="I115" s="136">
        <v>11</v>
      </c>
      <c r="J115" s="214">
        <f t="shared" si="10"/>
        <v>618</v>
      </c>
      <c r="K115" s="215">
        <f t="shared" si="11"/>
        <v>618</v>
      </c>
      <c r="L115" s="216">
        <f t="shared" si="13"/>
        <v>642.72</v>
      </c>
      <c r="M115" s="215">
        <f>ROUND(589*1.05,0)</f>
        <v>618</v>
      </c>
      <c r="N115" s="217">
        <f t="shared" si="12"/>
        <v>515</v>
      </c>
      <c r="O115" s="153"/>
      <c r="P115" s="154">
        <v>407.63</v>
      </c>
      <c r="Q115" s="19">
        <v>458</v>
      </c>
    </row>
    <row r="116" spans="1:17" ht="19.5" thickBot="1">
      <c r="A116" s="614"/>
      <c r="B116" s="480"/>
      <c r="C116" s="763"/>
      <c r="D116" s="172" t="s">
        <v>78</v>
      </c>
      <c r="E116" s="677"/>
      <c r="F116" s="296">
        <v>60</v>
      </c>
      <c r="G116" s="157">
        <v>12.96</v>
      </c>
      <c r="H116" s="139">
        <v>1785</v>
      </c>
      <c r="I116" s="140">
        <v>11</v>
      </c>
      <c r="J116" s="220">
        <f t="shared" si="10"/>
        <v>758</v>
      </c>
      <c r="K116" s="4">
        <f t="shared" si="11"/>
        <v>758</v>
      </c>
      <c r="L116" s="221">
        <f t="shared" si="13"/>
        <v>788.32</v>
      </c>
      <c r="M116" s="4">
        <f>ROUND(722*1.05,0)</f>
        <v>758</v>
      </c>
      <c r="N116" s="222">
        <f t="shared" si="12"/>
        <v>631.66999999999996</v>
      </c>
      <c r="O116" s="153"/>
      <c r="P116" s="154">
        <v>501.69</v>
      </c>
      <c r="Q116" s="19">
        <v>564</v>
      </c>
    </row>
    <row r="117" spans="1:17" ht="18.75">
      <c r="A117" s="614"/>
      <c r="B117" s="678"/>
      <c r="C117" s="659" t="s">
        <v>13</v>
      </c>
      <c r="D117" s="232" t="s">
        <v>78</v>
      </c>
      <c r="E117" s="676" t="s">
        <v>42</v>
      </c>
      <c r="F117" s="295">
        <v>40</v>
      </c>
      <c r="G117" s="203">
        <v>19.440000000000001</v>
      </c>
      <c r="H117" s="135">
        <v>1781</v>
      </c>
      <c r="I117" s="136">
        <v>11</v>
      </c>
      <c r="J117" s="214">
        <f t="shared" si="10"/>
        <v>618</v>
      </c>
      <c r="K117" s="215">
        <f t="shared" si="11"/>
        <v>618</v>
      </c>
      <c r="L117" s="216">
        <f t="shared" si="13"/>
        <v>642.72</v>
      </c>
      <c r="M117" s="215">
        <f>ROUND(589*1.05,0)</f>
        <v>618</v>
      </c>
      <c r="N117" s="217">
        <f t="shared" si="12"/>
        <v>515</v>
      </c>
      <c r="O117" s="153"/>
      <c r="P117" s="154">
        <v>407.63</v>
      </c>
      <c r="Q117" s="19">
        <v>485</v>
      </c>
    </row>
    <row r="118" spans="1:17" ht="19.5" thickBot="1">
      <c r="A118" s="614"/>
      <c r="B118" s="682"/>
      <c r="C118" s="660"/>
      <c r="D118" s="312" t="s">
        <v>78</v>
      </c>
      <c r="E118" s="677"/>
      <c r="F118" s="296">
        <v>60</v>
      </c>
      <c r="G118" s="157">
        <v>12.96</v>
      </c>
      <c r="H118" s="139">
        <v>1785</v>
      </c>
      <c r="I118" s="140">
        <v>11</v>
      </c>
      <c r="J118" s="220">
        <f t="shared" si="10"/>
        <v>758</v>
      </c>
      <c r="K118" s="4">
        <f t="shared" si="11"/>
        <v>758</v>
      </c>
      <c r="L118" s="221">
        <f t="shared" si="13"/>
        <v>788.32</v>
      </c>
      <c r="M118" s="4">
        <f>ROUND(722*1.05,0)</f>
        <v>758</v>
      </c>
      <c r="N118" s="222">
        <f t="shared" si="12"/>
        <v>631.66999999999996</v>
      </c>
      <c r="O118" s="153"/>
      <c r="P118" s="154">
        <v>501.69</v>
      </c>
      <c r="Q118" s="19">
        <v>564</v>
      </c>
    </row>
    <row r="119" spans="1:17" ht="18.75">
      <c r="A119" s="614"/>
      <c r="B119" s="678"/>
      <c r="C119" s="722" t="s">
        <v>44</v>
      </c>
      <c r="D119" s="114" t="s">
        <v>78</v>
      </c>
      <c r="E119" s="676" t="s">
        <v>42</v>
      </c>
      <c r="F119" s="295">
        <v>40</v>
      </c>
      <c r="G119" s="203">
        <v>19.440000000000001</v>
      </c>
      <c r="H119" s="135">
        <v>1781</v>
      </c>
      <c r="I119" s="136">
        <v>11</v>
      </c>
      <c r="J119" s="214">
        <f t="shared" si="10"/>
        <v>618</v>
      </c>
      <c r="K119" s="215">
        <f t="shared" si="11"/>
        <v>618</v>
      </c>
      <c r="L119" s="216">
        <f t="shared" si="13"/>
        <v>642.72</v>
      </c>
      <c r="M119" s="215">
        <f>ROUND(589*1.05,0)</f>
        <v>618</v>
      </c>
      <c r="N119" s="217">
        <f>ROUND(M119/1.2,2)</f>
        <v>515</v>
      </c>
      <c r="O119" s="153"/>
      <c r="P119" s="154">
        <v>407.63</v>
      </c>
      <c r="Q119" s="19">
        <v>485</v>
      </c>
    </row>
    <row r="120" spans="1:17" ht="19.5" thickBot="1">
      <c r="A120" s="614"/>
      <c r="B120" s="682"/>
      <c r="C120" s="723"/>
      <c r="D120" s="172" t="s">
        <v>78</v>
      </c>
      <c r="E120" s="677"/>
      <c r="F120" s="296">
        <v>60</v>
      </c>
      <c r="G120" s="157">
        <v>12.96</v>
      </c>
      <c r="H120" s="139">
        <v>1785</v>
      </c>
      <c r="I120" s="140">
        <v>11</v>
      </c>
      <c r="J120" s="220">
        <f t="shared" si="10"/>
        <v>758</v>
      </c>
      <c r="K120" s="4">
        <f t="shared" si="11"/>
        <v>758</v>
      </c>
      <c r="L120" s="221">
        <f t="shared" si="13"/>
        <v>788.32</v>
      </c>
      <c r="M120" s="4">
        <f>ROUND(722*1.05,0)</f>
        <v>758</v>
      </c>
      <c r="N120" s="222">
        <f t="shared" si="12"/>
        <v>631.66999999999996</v>
      </c>
      <c r="O120" s="153"/>
      <c r="P120" s="154">
        <v>501.69</v>
      </c>
      <c r="Q120" s="19">
        <v>564</v>
      </c>
    </row>
    <row r="121" spans="1:17" ht="18.75">
      <c r="A121" s="614"/>
      <c r="B121" s="315"/>
      <c r="C121" s="780" t="s">
        <v>14</v>
      </c>
      <c r="D121" s="232"/>
      <c r="E121" s="676" t="s">
        <v>42</v>
      </c>
      <c r="F121" s="295">
        <v>40</v>
      </c>
      <c r="G121" s="203">
        <v>19.440000000000001</v>
      </c>
      <c r="H121" s="135">
        <v>1781</v>
      </c>
      <c r="I121" s="136">
        <v>11</v>
      </c>
      <c r="J121" s="214">
        <f>ROUND(M121+M121*R121,0)</f>
        <v>618</v>
      </c>
      <c r="K121" s="215">
        <f>ROUND(J121-(J121*S121),0)</f>
        <v>618</v>
      </c>
      <c r="L121" s="216">
        <f>M121*1.04</f>
        <v>642.72</v>
      </c>
      <c r="M121" s="215">
        <f>ROUND(589*1.05,0)</f>
        <v>618</v>
      </c>
      <c r="N121" s="217">
        <f>ROUND(M121/1.2,2)</f>
        <v>515</v>
      </c>
      <c r="O121" s="153"/>
      <c r="P121" s="154">
        <v>676.27</v>
      </c>
      <c r="Q121" s="55">
        <v>760</v>
      </c>
    </row>
    <row r="122" spans="1:17" ht="19.5" thickBot="1">
      <c r="A122" s="614"/>
      <c r="B122" s="326"/>
      <c r="C122" s="781"/>
      <c r="D122" s="172"/>
      <c r="E122" s="677"/>
      <c r="F122" s="296">
        <v>60</v>
      </c>
      <c r="G122" s="157">
        <v>12.96</v>
      </c>
      <c r="H122" s="139">
        <v>1785</v>
      </c>
      <c r="I122" s="140">
        <v>11</v>
      </c>
      <c r="J122" s="220">
        <f>ROUND(M122+M122*R122,0)</f>
        <v>758</v>
      </c>
      <c r="K122" s="4">
        <f>ROUND(J122-(J122*S122),0)</f>
        <v>758</v>
      </c>
      <c r="L122" s="221">
        <f>M122*1.04</f>
        <v>788.32</v>
      </c>
      <c r="M122" s="4">
        <f>ROUND(722*1.05,0)</f>
        <v>758</v>
      </c>
      <c r="N122" s="222">
        <f>ROUND(M122/1.2,2)</f>
        <v>631.66999999999996</v>
      </c>
      <c r="O122" s="153"/>
      <c r="P122" s="154">
        <v>676.27</v>
      </c>
      <c r="Q122" s="55">
        <v>760</v>
      </c>
    </row>
    <row r="123" spans="1:17" ht="75">
      <c r="A123" s="614"/>
      <c r="B123" s="321"/>
      <c r="C123" s="323" t="s">
        <v>101</v>
      </c>
      <c r="D123" s="232" t="s">
        <v>78</v>
      </c>
      <c r="E123" s="295" t="s">
        <v>42</v>
      </c>
      <c r="F123" s="416">
        <v>40</v>
      </c>
      <c r="G123" s="203">
        <v>19.440000000000001</v>
      </c>
      <c r="H123" s="135">
        <v>1781</v>
      </c>
      <c r="I123" s="136">
        <v>11</v>
      </c>
      <c r="J123" s="214">
        <f t="shared" si="10"/>
        <v>859</v>
      </c>
      <c r="K123" s="215">
        <f>J123*0.95</f>
        <v>816.05</v>
      </c>
      <c r="L123" s="216">
        <f>M123*1.05</f>
        <v>901.95</v>
      </c>
      <c r="M123" s="215">
        <f>ROUND(818*1.05,0)</f>
        <v>859</v>
      </c>
      <c r="N123" s="217">
        <f t="shared" ref="N123:N140" si="14">ROUND(M123/1.2,2)</f>
        <v>715.83</v>
      </c>
      <c r="O123" s="153"/>
      <c r="P123" s="154">
        <v>606.78</v>
      </c>
      <c r="Q123" s="19">
        <v>695</v>
      </c>
    </row>
    <row r="124" spans="1:17" ht="60.75" thickBot="1">
      <c r="A124" s="614"/>
      <c r="B124" s="322"/>
      <c r="C124" s="324" t="s">
        <v>86</v>
      </c>
      <c r="D124" s="124"/>
      <c r="E124" s="296" t="s">
        <v>42</v>
      </c>
      <c r="F124" s="417">
        <v>60</v>
      </c>
      <c r="G124" s="157">
        <v>12.96</v>
      </c>
      <c r="H124" s="139">
        <v>1785</v>
      </c>
      <c r="I124" s="140">
        <v>11</v>
      </c>
      <c r="J124" s="220">
        <f t="shared" si="10"/>
        <v>1107</v>
      </c>
      <c r="K124" s="4">
        <f>J124*0.95</f>
        <v>1051.6499999999999</v>
      </c>
      <c r="L124" s="221">
        <f>M124*1.05</f>
        <v>1162.3500000000001</v>
      </c>
      <c r="M124" s="4">
        <f>ROUND(1054*1.05,0)</f>
        <v>1107</v>
      </c>
      <c r="N124" s="222">
        <f t="shared" si="14"/>
        <v>922.5</v>
      </c>
      <c r="O124" s="153"/>
      <c r="P124" s="154">
        <v>782.2</v>
      </c>
      <c r="Q124" s="19">
        <v>896</v>
      </c>
    </row>
    <row r="125" spans="1:17" ht="45">
      <c r="A125" s="614"/>
      <c r="B125" s="321"/>
      <c r="C125" s="317" t="s">
        <v>92</v>
      </c>
      <c r="D125" s="115" t="s">
        <v>78</v>
      </c>
      <c r="E125" s="295" t="s">
        <v>42</v>
      </c>
      <c r="F125" s="416">
        <v>40</v>
      </c>
      <c r="G125" s="203">
        <v>19.440000000000001</v>
      </c>
      <c r="H125" s="135">
        <v>1781</v>
      </c>
      <c r="I125" s="136">
        <v>11</v>
      </c>
      <c r="J125" s="214">
        <f t="shared" si="10"/>
        <v>859</v>
      </c>
      <c r="K125" s="215">
        <f>J125*0.95</f>
        <v>816.05</v>
      </c>
      <c r="L125" s="216">
        <f>M125*1.05</f>
        <v>901.95</v>
      </c>
      <c r="M125" s="215">
        <f>ROUND(818*1.05,0)</f>
        <v>859</v>
      </c>
      <c r="N125" s="217">
        <f t="shared" si="14"/>
        <v>715.83</v>
      </c>
      <c r="O125" s="153"/>
      <c r="P125" s="154">
        <v>606.78</v>
      </c>
      <c r="Q125" s="19">
        <v>695</v>
      </c>
    </row>
    <row r="126" spans="1:17" ht="45.75" thickBot="1">
      <c r="A126" s="614"/>
      <c r="B126" s="322"/>
      <c r="C126" s="314" t="s">
        <v>93</v>
      </c>
      <c r="D126" s="124"/>
      <c r="E126" s="296" t="s">
        <v>42</v>
      </c>
      <c r="F126" s="417">
        <v>60</v>
      </c>
      <c r="G126" s="157">
        <v>12.96</v>
      </c>
      <c r="H126" s="139">
        <v>1785</v>
      </c>
      <c r="I126" s="140">
        <v>11</v>
      </c>
      <c r="J126" s="220">
        <f>ROUND(M126+M126*R126,0)</f>
        <v>1107</v>
      </c>
      <c r="K126" s="4">
        <f>J126*0.95</f>
        <v>1051.6499999999999</v>
      </c>
      <c r="L126" s="221">
        <f>M126*1.05</f>
        <v>1162.3500000000001</v>
      </c>
      <c r="M126" s="4">
        <f>ROUND(1054*1.05,0)</f>
        <v>1107</v>
      </c>
      <c r="N126" s="222">
        <f>ROUND(M126/1.2,2)</f>
        <v>922.5</v>
      </c>
      <c r="O126" s="153"/>
      <c r="P126" s="154"/>
      <c r="Q126" s="313"/>
    </row>
    <row r="127" spans="1:17" ht="15.75" thickBot="1">
      <c r="A127" s="603" t="s">
        <v>43</v>
      </c>
      <c r="B127" s="604"/>
      <c r="C127" s="604"/>
      <c r="D127" s="604"/>
      <c r="E127" s="604"/>
      <c r="F127" s="604"/>
      <c r="G127" s="604"/>
      <c r="H127" s="604"/>
      <c r="I127" s="604"/>
      <c r="J127" s="604"/>
      <c r="K127" s="604"/>
      <c r="L127" s="604"/>
      <c r="M127" s="604"/>
      <c r="N127" s="605"/>
      <c r="O127" s="153"/>
      <c r="P127" s="154">
        <v>0</v>
      </c>
      <c r="Q127" s="66"/>
    </row>
    <row r="128" spans="1:17" ht="19.5" thickBot="1">
      <c r="A128" s="608">
        <v>14</v>
      </c>
      <c r="B128" s="705"/>
      <c r="C128" s="683" t="s">
        <v>6</v>
      </c>
      <c r="D128" s="114"/>
      <c r="E128" s="297" t="s">
        <v>39</v>
      </c>
      <c r="F128" s="701">
        <v>60</v>
      </c>
      <c r="G128" s="306">
        <v>11.88</v>
      </c>
      <c r="H128" s="286">
        <v>1590</v>
      </c>
      <c r="I128" s="298">
        <v>12</v>
      </c>
      <c r="J128" s="214">
        <f t="shared" ref="J128:J140" si="15">ROUND(M128+M128*R128,0)</f>
        <v>656</v>
      </c>
      <c r="K128" s="215">
        <f t="shared" ref="K128:K136" si="16">ROUND(J128-(J128*S128),0)</f>
        <v>656</v>
      </c>
      <c r="L128" s="216">
        <f>M128*1.03</f>
        <v>675.68000000000006</v>
      </c>
      <c r="M128" s="215">
        <f>ROUND(625*1.05,0)</f>
        <v>656</v>
      </c>
      <c r="N128" s="263">
        <f t="shared" si="14"/>
        <v>546.66999999999996</v>
      </c>
      <c r="O128" s="153"/>
      <c r="P128" s="154">
        <v>433.9</v>
      </c>
      <c r="Q128" s="67">
        <v>488</v>
      </c>
    </row>
    <row r="129" spans="1:17" ht="18.75">
      <c r="A129" s="689"/>
      <c r="B129" s="706"/>
      <c r="C129" s="765"/>
      <c r="D129" s="117" t="s">
        <v>78</v>
      </c>
      <c r="E129" s="141" t="s">
        <v>37</v>
      </c>
      <c r="F129" s="702"/>
      <c r="G129" s="299">
        <v>14.4</v>
      </c>
      <c r="H129" s="287">
        <v>1988</v>
      </c>
      <c r="I129" s="289">
        <v>10</v>
      </c>
      <c r="J129" s="218">
        <f t="shared" si="15"/>
        <v>656</v>
      </c>
      <c r="K129" s="3">
        <f t="shared" si="16"/>
        <v>656</v>
      </c>
      <c r="L129" s="41">
        <f>M129*1.03</f>
        <v>675.68000000000006</v>
      </c>
      <c r="M129" s="3">
        <f>ROUND(625*1.05,0)</f>
        <v>656</v>
      </c>
      <c r="N129" s="267">
        <f>ROUND(M129/1.2,2)</f>
        <v>546.66999999999996</v>
      </c>
      <c r="O129" s="153"/>
      <c r="P129" s="154">
        <v>433.9</v>
      </c>
      <c r="Q129" s="56">
        <v>488</v>
      </c>
    </row>
    <row r="130" spans="1:17" ht="19.5" thickBot="1">
      <c r="A130" s="614"/>
      <c r="B130" s="670"/>
      <c r="C130" s="684"/>
      <c r="D130" s="312"/>
      <c r="E130" s="328" t="s">
        <v>59</v>
      </c>
      <c r="F130" s="702"/>
      <c r="G130" s="382">
        <v>11.52</v>
      </c>
      <c r="H130" s="180">
        <v>1641</v>
      </c>
      <c r="I130" s="329">
        <v>12</v>
      </c>
      <c r="J130" s="330">
        <f t="shared" si="15"/>
        <v>656</v>
      </c>
      <c r="K130" s="223">
        <f t="shared" si="16"/>
        <v>656</v>
      </c>
      <c r="L130" s="44">
        <f>M130*1.03</f>
        <v>675.68000000000006</v>
      </c>
      <c r="M130" s="223">
        <f>ROUND(625*1.05,0)</f>
        <v>656</v>
      </c>
      <c r="N130" s="331">
        <f>ROUND(M130/1.2,2)</f>
        <v>546.66999999999996</v>
      </c>
      <c r="O130" s="153"/>
      <c r="P130" s="154">
        <v>433.9</v>
      </c>
      <c r="Q130" s="57">
        <v>488</v>
      </c>
    </row>
    <row r="131" spans="1:17" ht="18.75">
      <c r="A131" s="689"/>
      <c r="B131" s="770"/>
      <c r="C131" s="772" t="s">
        <v>38</v>
      </c>
      <c r="D131" s="119"/>
      <c r="E131" s="297" t="s">
        <v>39</v>
      </c>
      <c r="F131" s="702"/>
      <c r="G131" s="306">
        <v>11.88</v>
      </c>
      <c r="H131" s="286">
        <v>1590</v>
      </c>
      <c r="I131" s="298">
        <v>12</v>
      </c>
      <c r="J131" s="214">
        <f t="shared" si="15"/>
        <v>758</v>
      </c>
      <c r="K131" s="215">
        <f t="shared" si="16"/>
        <v>758</v>
      </c>
      <c r="L131" s="216">
        <f t="shared" ref="L131:L136" si="17">M131*1.04</f>
        <v>788.32</v>
      </c>
      <c r="M131" s="215">
        <f t="shared" ref="M131:M136" si="18">ROUND(722*1.05,0)</f>
        <v>758</v>
      </c>
      <c r="N131" s="263">
        <f t="shared" si="14"/>
        <v>631.66999999999996</v>
      </c>
      <c r="O131" s="153"/>
      <c r="P131" s="154">
        <v>501.69</v>
      </c>
      <c r="Q131" s="58">
        <v>564</v>
      </c>
    </row>
    <row r="132" spans="1:17" ht="19.5" thickBot="1">
      <c r="A132" s="689"/>
      <c r="B132" s="771"/>
      <c r="C132" s="773"/>
      <c r="D132" s="124" t="s">
        <v>78</v>
      </c>
      <c r="E132" s="109" t="s">
        <v>37</v>
      </c>
      <c r="F132" s="702"/>
      <c r="G132" s="307">
        <v>14.4</v>
      </c>
      <c r="H132" s="288">
        <v>1988</v>
      </c>
      <c r="I132" s="301">
        <v>10</v>
      </c>
      <c r="J132" s="220">
        <f t="shared" si="15"/>
        <v>758</v>
      </c>
      <c r="K132" s="4">
        <f t="shared" si="16"/>
        <v>758</v>
      </c>
      <c r="L132" s="221">
        <f t="shared" si="17"/>
        <v>788.32</v>
      </c>
      <c r="M132" s="4">
        <f t="shared" si="18"/>
        <v>758</v>
      </c>
      <c r="N132" s="271">
        <f t="shared" si="14"/>
        <v>631.66999999999996</v>
      </c>
      <c r="O132" s="153"/>
      <c r="P132" s="154">
        <v>501.69</v>
      </c>
      <c r="Q132" s="58">
        <v>564</v>
      </c>
    </row>
    <row r="133" spans="1:17" ht="18.75">
      <c r="A133" s="689"/>
      <c r="B133" s="707"/>
      <c r="C133" s="683" t="s">
        <v>44</v>
      </c>
      <c r="D133" s="114"/>
      <c r="E133" s="297" t="s">
        <v>39</v>
      </c>
      <c r="F133" s="702"/>
      <c r="G133" s="306">
        <v>11.88</v>
      </c>
      <c r="H133" s="286">
        <v>1590</v>
      </c>
      <c r="I133" s="298">
        <v>12</v>
      </c>
      <c r="J133" s="214">
        <f t="shared" si="15"/>
        <v>758</v>
      </c>
      <c r="K133" s="215">
        <f t="shared" si="16"/>
        <v>758</v>
      </c>
      <c r="L133" s="216">
        <f t="shared" si="17"/>
        <v>788.32</v>
      </c>
      <c r="M133" s="215">
        <f t="shared" si="18"/>
        <v>758</v>
      </c>
      <c r="N133" s="263">
        <f t="shared" si="14"/>
        <v>631.66999999999996</v>
      </c>
      <c r="O133" s="153"/>
      <c r="P133" s="154">
        <v>501.69</v>
      </c>
      <c r="Q133" s="58">
        <v>564</v>
      </c>
    </row>
    <row r="134" spans="1:17" ht="19.5" thickBot="1">
      <c r="A134" s="689"/>
      <c r="B134" s="708"/>
      <c r="C134" s="684"/>
      <c r="D134" s="124" t="s">
        <v>78</v>
      </c>
      <c r="E134" s="109" t="s">
        <v>37</v>
      </c>
      <c r="F134" s="702"/>
      <c r="G134" s="307">
        <v>14.4</v>
      </c>
      <c r="H134" s="288">
        <v>1988</v>
      </c>
      <c r="I134" s="301">
        <v>10</v>
      </c>
      <c r="J134" s="220">
        <f t="shared" si="15"/>
        <v>758</v>
      </c>
      <c r="K134" s="4">
        <f t="shared" si="16"/>
        <v>758</v>
      </c>
      <c r="L134" s="221">
        <f t="shared" si="17"/>
        <v>788.32</v>
      </c>
      <c r="M134" s="4">
        <f t="shared" si="18"/>
        <v>758</v>
      </c>
      <c r="N134" s="271">
        <f t="shared" si="14"/>
        <v>631.66999999999996</v>
      </c>
      <c r="O134" s="153"/>
      <c r="P134" s="154">
        <v>501.69</v>
      </c>
      <c r="Q134" s="58">
        <v>564</v>
      </c>
    </row>
    <row r="135" spans="1:17" ht="18.75">
      <c r="A135" s="614"/>
      <c r="B135" s="419"/>
      <c r="C135" s="683" t="s">
        <v>14</v>
      </c>
      <c r="D135" s="114"/>
      <c r="E135" s="297" t="s">
        <v>39</v>
      </c>
      <c r="F135" s="702"/>
      <c r="G135" s="306">
        <v>11.88</v>
      </c>
      <c r="H135" s="286">
        <v>1590</v>
      </c>
      <c r="I135" s="298">
        <v>12</v>
      </c>
      <c r="J135" s="214">
        <f t="shared" si="15"/>
        <v>758</v>
      </c>
      <c r="K135" s="215">
        <f t="shared" si="16"/>
        <v>758</v>
      </c>
      <c r="L135" s="216">
        <f t="shared" si="17"/>
        <v>788.32</v>
      </c>
      <c r="M135" s="215">
        <f t="shared" si="18"/>
        <v>758</v>
      </c>
      <c r="N135" s="263">
        <f t="shared" si="14"/>
        <v>631.66999999999996</v>
      </c>
      <c r="O135" s="153"/>
      <c r="P135" s="154">
        <v>501.69</v>
      </c>
      <c r="Q135" s="57">
        <v>564</v>
      </c>
    </row>
    <row r="136" spans="1:17" ht="19.5" thickBot="1">
      <c r="A136" s="689"/>
      <c r="B136" s="305"/>
      <c r="C136" s="684"/>
      <c r="D136" s="172"/>
      <c r="E136" s="109" t="s">
        <v>37</v>
      </c>
      <c r="F136" s="702"/>
      <c r="G136" s="307">
        <v>14.4</v>
      </c>
      <c r="H136" s="288">
        <v>1988</v>
      </c>
      <c r="I136" s="301">
        <v>10</v>
      </c>
      <c r="J136" s="220">
        <f t="shared" si="15"/>
        <v>758</v>
      </c>
      <c r="K136" s="4">
        <f t="shared" si="16"/>
        <v>758</v>
      </c>
      <c r="L136" s="221">
        <f t="shared" si="17"/>
        <v>788.32</v>
      </c>
      <c r="M136" s="4">
        <f t="shared" si="18"/>
        <v>758</v>
      </c>
      <c r="N136" s="271">
        <f t="shared" si="14"/>
        <v>631.66999999999996</v>
      </c>
      <c r="O136" s="153"/>
      <c r="P136" s="154">
        <v>501.69</v>
      </c>
      <c r="Q136" s="57">
        <v>564</v>
      </c>
    </row>
    <row r="137" spans="1:17" ht="19.5" thickBot="1">
      <c r="A137" s="614"/>
      <c r="B137" s="142"/>
      <c r="C137" s="396" t="s">
        <v>12</v>
      </c>
      <c r="D137" s="332"/>
      <c r="E137" s="300" t="s">
        <v>39</v>
      </c>
      <c r="F137" s="702"/>
      <c r="G137" s="279">
        <v>11.88</v>
      </c>
      <c r="H137" s="351">
        <v>1590</v>
      </c>
      <c r="I137" s="333">
        <v>12</v>
      </c>
      <c r="J137" s="316">
        <f>ROUND(M137+M137*R137,0)</f>
        <v>758</v>
      </c>
      <c r="K137" s="277">
        <f>ROUND(J137-(J137*S137),0)</f>
        <v>758</v>
      </c>
      <c r="L137" s="159">
        <f>M137*1.04</f>
        <v>788.32</v>
      </c>
      <c r="M137" s="277">
        <f>ROUND(722*1.05,0)</f>
        <v>758</v>
      </c>
      <c r="N137" s="334">
        <f>ROUND(M137/1.2,2)</f>
        <v>631.66999999999996</v>
      </c>
      <c r="O137" s="153"/>
      <c r="P137" s="154"/>
      <c r="Q137" s="57">
        <v>564</v>
      </c>
    </row>
    <row r="138" spans="1:17" ht="30.75" thickBot="1">
      <c r="A138" s="614"/>
      <c r="B138" s="349"/>
      <c r="C138" s="398" t="s">
        <v>142</v>
      </c>
      <c r="D138" s="47"/>
      <c r="E138" s="98" t="s">
        <v>37</v>
      </c>
      <c r="F138" s="702"/>
      <c r="G138" s="148">
        <v>14.4</v>
      </c>
      <c r="H138" s="129">
        <v>1988</v>
      </c>
      <c r="I138" s="130">
        <v>10</v>
      </c>
      <c r="J138" s="102">
        <f t="shared" si="15"/>
        <v>1347</v>
      </c>
      <c r="K138" s="103">
        <f>J138*0.95</f>
        <v>1279.6499999999999</v>
      </c>
      <c r="L138" s="91">
        <f>M138*1.05</f>
        <v>1414.3500000000001</v>
      </c>
      <c r="M138" s="103">
        <f>ROUND(1283*1.05,0)</f>
        <v>1347</v>
      </c>
      <c r="N138" s="155">
        <f t="shared" si="14"/>
        <v>1122.5</v>
      </c>
      <c r="O138" s="153"/>
      <c r="P138" s="154">
        <v>890.68</v>
      </c>
      <c r="Q138" s="57">
        <v>1001</v>
      </c>
    </row>
    <row r="139" spans="1:17" ht="30.75" thickBot="1">
      <c r="A139" s="614"/>
      <c r="B139" s="420"/>
      <c r="C139" s="366" t="s">
        <v>143</v>
      </c>
      <c r="D139" s="47"/>
      <c r="E139" s="98" t="s">
        <v>37</v>
      </c>
      <c r="F139" s="702"/>
      <c r="G139" s="148">
        <v>14.4</v>
      </c>
      <c r="H139" s="129">
        <v>1988</v>
      </c>
      <c r="I139" s="130">
        <v>10</v>
      </c>
      <c r="J139" s="102">
        <f t="shared" si="15"/>
        <v>1347</v>
      </c>
      <c r="K139" s="103">
        <f>J139*0.95</f>
        <v>1279.6499999999999</v>
      </c>
      <c r="L139" s="91">
        <f>M139*1.05</f>
        <v>1414.3500000000001</v>
      </c>
      <c r="M139" s="103">
        <f>ROUND(1283*1.05,0)</f>
        <v>1347</v>
      </c>
      <c r="N139" s="155">
        <f t="shared" si="14"/>
        <v>1122.5</v>
      </c>
      <c r="O139" s="153"/>
      <c r="P139" s="154">
        <v>890.68</v>
      </c>
      <c r="Q139" s="57">
        <v>1001</v>
      </c>
    </row>
    <row r="140" spans="1:17" ht="30.75" thickBot="1">
      <c r="A140" s="615"/>
      <c r="B140" s="110"/>
      <c r="C140" s="285" t="s">
        <v>104</v>
      </c>
      <c r="D140" s="47"/>
      <c r="E140" s="98" t="s">
        <v>37</v>
      </c>
      <c r="F140" s="703"/>
      <c r="G140" s="148">
        <v>14.4</v>
      </c>
      <c r="H140" s="129">
        <v>1988</v>
      </c>
      <c r="I140" s="130">
        <v>10</v>
      </c>
      <c r="J140" s="102">
        <f t="shared" si="15"/>
        <v>1347</v>
      </c>
      <c r="K140" s="103">
        <f>J140*0.95</f>
        <v>1279.6499999999999</v>
      </c>
      <c r="L140" s="91">
        <f>M140*1.05</f>
        <v>1414.3500000000001</v>
      </c>
      <c r="M140" s="103">
        <f>ROUND(1283*1.05,0)</f>
        <v>1347</v>
      </c>
      <c r="N140" s="155">
        <f t="shared" si="14"/>
        <v>1122.5</v>
      </c>
      <c r="O140" s="153"/>
      <c r="P140" s="154">
        <v>890.68</v>
      </c>
      <c r="Q140" s="61">
        <v>1001</v>
      </c>
    </row>
    <row r="141" spans="1:17" ht="15.75" thickBot="1">
      <c r="A141" s="649" t="s">
        <v>35</v>
      </c>
      <c r="B141" s="650"/>
      <c r="C141" s="650"/>
      <c r="D141" s="650"/>
      <c r="E141" s="650"/>
      <c r="F141" s="650"/>
      <c r="G141" s="650"/>
      <c r="H141" s="650"/>
      <c r="I141" s="650"/>
      <c r="J141" s="650"/>
      <c r="K141" s="650"/>
      <c r="L141" s="650"/>
      <c r="M141" s="650"/>
      <c r="N141" s="651"/>
      <c r="O141" s="153"/>
      <c r="P141" s="154">
        <v>0</v>
      </c>
      <c r="Q141" s="77"/>
    </row>
    <row r="142" spans="1:17" ht="19.5" thickBot="1">
      <c r="A142" s="168">
        <v>15</v>
      </c>
      <c r="B142" s="483"/>
      <c r="C142" s="146" t="s">
        <v>6</v>
      </c>
      <c r="D142" s="100" t="s">
        <v>79</v>
      </c>
      <c r="E142" s="177" t="s">
        <v>18</v>
      </c>
      <c r="F142" s="376">
        <v>100</v>
      </c>
      <c r="G142" s="148">
        <v>10.8</v>
      </c>
      <c r="H142" s="129">
        <v>1552</v>
      </c>
      <c r="I142" s="149">
        <v>12</v>
      </c>
      <c r="J142" s="102">
        <f>ROUND(M142+M142*R142,0)</f>
        <v>758</v>
      </c>
      <c r="K142" s="103">
        <f>J142*0.97</f>
        <v>735.26</v>
      </c>
      <c r="L142" s="91">
        <f>M142*1.03</f>
        <v>780.74</v>
      </c>
      <c r="M142" s="103">
        <f>ROUND(722*1.05,0)</f>
        <v>758</v>
      </c>
      <c r="N142" s="155">
        <f>ROUND(M142/1.2,2)</f>
        <v>631.66999999999996</v>
      </c>
      <c r="O142" s="153"/>
      <c r="P142" s="154">
        <v>501.69</v>
      </c>
      <c r="Q142" s="15">
        <v>564</v>
      </c>
    </row>
    <row r="143" spans="1:17" ht="19.5" thickBot="1">
      <c r="A143" s="344"/>
      <c r="B143" s="303"/>
      <c r="C143" s="335"/>
      <c r="D143" s="336"/>
      <c r="E143" s="337"/>
      <c r="F143" s="338"/>
      <c r="G143" s="303"/>
      <c r="H143" s="303"/>
      <c r="I143" s="303"/>
      <c r="J143" s="339"/>
      <c r="K143" s="339"/>
      <c r="L143" s="339"/>
      <c r="M143" s="339"/>
      <c r="N143" s="340"/>
      <c r="O143" s="341"/>
      <c r="P143" s="342"/>
      <c r="Q143" s="343"/>
    </row>
    <row r="144" spans="1:17" ht="16.5" thickBot="1">
      <c r="A144" s="597" t="s">
        <v>1</v>
      </c>
      <c r="B144" s="598"/>
      <c r="C144" s="598"/>
      <c r="D144" s="598"/>
      <c r="E144" s="598"/>
      <c r="F144" s="598"/>
      <c r="G144" s="598"/>
      <c r="H144" s="598"/>
      <c r="I144" s="598"/>
      <c r="J144" s="598"/>
      <c r="K144" s="598"/>
      <c r="L144" s="598"/>
      <c r="M144" s="598"/>
      <c r="N144" s="599"/>
      <c r="O144" s="153"/>
      <c r="P144" s="154">
        <v>0</v>
      </c>
      <c r="Q144" s="68"/>
    </row>
    <row r="145" spans="1:17" ht="123" thickBot="1">
      <c r="A145" s="93" t="s">
        <v>0</v>
      </c>
      <c r="B145" s="594" t="s">
        <v>5</v>
      </c>
      <c r="C145" s="595"/>
      <c r="D145" s="596"/>
      <c r="E145" s="94" t="s">
        <v>7</v>
      </c>
      <c r="F145" s="94" t="s">
        <v>16</v>
      </c>
      <c r="G145" s="94" t="s">
        <v>134</v>
      </c>
      <c r="H145" s="95" t="s">
        <v>8</v>
      </c>
      <c r="I145" s="94" t="s">
        <v>25</v>
      </c>
      <c r="J145" s="96" t="s">
        <v>33</v>
      </c>
      <c r="K145" s="94" t="s">
        <v>56</v>
      </c>
      <c r="L145" s="95" t="s">
        <v>82</v>
      </c>
      <c r="M145" s="94" t="s">
        <v>53</v>
      </c>
      <c r="N145" s="97" t="s">
        <v>54</v>
      </c>
      <c r="O145" s="92">
        <v>1.05</v>
      </c>
      <c r="P145" s="94" t="s">
        <v>119</v>
      </c>
      <c r="Q145" s="94" t="s">
        <v>120</v>
      </c>
    </row>
    <row r="146" spans="1:17" ht="15.75" thickBot="1">
      <c r="A146" s="603" t="s">
        <v>30</v>
      </c>
      <c r="B146" s="604"/>
      <c r="C146" s="604"/>
      <c r="D146" s="604"/>
      <c r="E146" s="604"/>
      <c r="F146" s="604"/>
      <c r="G146" s="604"/>
      <c r="H146" s="604"/>
      <c r="I146" s="604"/>
      <c r="J146" s="604"/>
      <c r="K146" s="604"/>
      <c r="L146" s="604"/>
      <c r="M146" s="604"/>
      <c r="N146" s="605"/>
      <c r="O146" s="153"/>
      <c r="P146" s="154">
        <v>0</v>
      </c>
      <c r="Q146" s="70"/>
    </row>
    <row r="147" spans="1:17" ht="19.5" thickBot="1">
      <c r="A147" s="168">
        <v>1</v>
      </c>
      <c r="B147" s="337"/>
      <c r="C147" s="366" t="s">
        <v>6</v>
      </c>
      <c r="D147" s="100" t="s">
        <v>79</v>
      </c>
      <c r="E147" s="376" t="s">
        <v>45</v>
      </c>
      <c r="F147" s="148">
        <v>300</v>
      </c>
      <c r="G147" s="129">
        <v>18</v>
      </c>
      <c r="H147" s="129">
        <v>1818</v>
      </c>
      <c r="I147" s="130">
        <v>11</v>
      </c>
      <c r="J147" s="102">
        <f>ROUND(M147+M147*R147,0)</f>
        <v>389</v>
      </c>
      <c r="K147" s="103">
        <f>ROUND(J147-(J147*S147),0)</f>
        <v>389</v>
      </c>
      <c r="L147" s="91">
        <f>M147*1.03</f>
        <v>400.67</v>
      </c>
      <c r="M147" s="103">
        <f>ROUND(370*1.05,0)</f>
        <v>389</v>
      </c>
      <c r="N147" s="155">
        <f>ROUND(M147/1.2,2)</f>
        <v>324.17</v>
      </c>
      <c r="O147" s="153"/>
      <c r="P147" s="154">
        <v>255.93</v>
      </c>
      <c r="Q147" s="51">
        <v>288</v>
      </c>
    </row>
    <row r="148" spans="1:17" ht="15.75" thickBot="1">
      <c r="A148" s="603" t="s">
        <v>29</v>
      </c>
      <c r="B148" s="604"/>
      <c r="C148" s="604"/>
      <c r="D148" s="604"/>
      <c r="E148" s="604"/>
      <c r="F148" s="604"/>
      <c r="G148" s="604"/>
      <c r="H148" s="604"/>
      <c r="I148" s="604"/>
      <c r="J148" s="604"/>
      <c r="K148" s="604"/>
      <c r="L148" s="604"/>
      <c r="M148" s="604"/>
      <c r="N148" s="605"/>
      <c r="O148" s="153"/>
      <c r="P148" s="154">
        <v>0</v>
      </c>
      <c r="Q148" s="71"/>
    </row>
    <row r="149" spans="1:17" ht="19.5" thickBot="1">
      <c r="A149" s="608">
        <v>2</v>
      </c>
      <c r="B149" s="488"/>
      <c r="C149" s="366" t="s">
        <v>6</v>
      </c>
      <c r="D149" s="100" t="s">
        <v>79</v>
      </c>
      <c r="E149" s="616" t="s">
        <v>46</v>
      </c>
      <c r="F149" s="616">
        <v>200</v>
      </c>
      <c r="G149" s="736">
        <v>48</v>
      </c>
      <c r="H149" s="734">
        <v>1759</v>
      </c>
      <c r="I149" s="685">
        <v>11</v>
      </c>
      <c r="J149" s="102">
        <f>ROUND(M149+M149*R149,0)</f>
        <v>168</v>
      </c>
      <c r="K149" s="103">
        <f>ROUND(J149-(J149*S149),0)</f>
        <v>168</v>
      </c>
      <c r="L149" s="91">
        <f>M149*1.03</f>
        <v>173.04</v>
      </c>
      <c r="M149" s="103">
        <f>ROUND(160*1.05,0)</f>
        <v>168</v>
      </c>
      <c r="N149" s="155">
        <f t="shared" ref="N149:N165" si="19">ROUND(M149/1.2,2)</f>
        <v>140</v>
      </c>
      <c r="O149" s="153"/>
      <c r="P149" s="154">
        <v>111.02</v>
      </c>
      <c r="Q149" s="72">
        <v>125</v>
      </c>
    </row>
    <row r="150" spans="1:17" ht="18.75">
      <c r="A150" s="741"/>
      <c r="B150" s="489"/>
      <c r="C150" s="252" t="s">
        <v>14</v>
      </c>
      <c r="D150" s="237" t="s">
        <v>79</v>
      </c>
      <c r="E150" s="738"/>
      <c r="F150" s="738"/>
      <c r="G150" s="742"/>
      <c r="H150" s="777"/>
      <c r="I150" s="747"/>
      <c r="J150" s="214">
        <f>M150*1.3</f>
        <v>265.2</v>
      </c>
      <c r="K150" s="215">
        <f>J150*0.95</f>
        <v>251.93999999999997</v>
      </c>
      <c r="L150" s="216">
        <f>M150*1.05</f>
        <v>214.20000000000002</v>
      </c>
      <c r="M150" s="215">
        <f>ROUND(194*1.05,0)</f>
        <v>204</v>
      </c>
      <c r="N150" s="217">
        <f>ROUND(M150/1.2,2)</f>
        <v>170</v>
      </c>
      <c r="O150" s="153"/>
      <c r="P150" s="154">
        <v>134.75</v>
      </c>
      <c r="Q150" s="74">
        <v>151</v>
      </c>
    </row>
    <row r="151" spans="1:17" ht="18.75">
      <c r="A151" s="689"/>
      <c r="B151" s="490"/>
      <c r="C151" s="249" t="s">
        <v>13</v>
      </c>
      <c r="D151" s="115"/>
      <c r="E151" s="617"/>
      <c r="F151" s="617"/>
      <c r="G151" s="737"/>
      <c r="H151" s="735"/>
      <c r="I151" s="686"/>
      <c r="J151" s="218">
        <f>M151*1.3</f>
        <v>265.2</v>
      </c>
      <c r="K151" s="3">
        <f>J151*0.95</f>
        <v>251.93999999999997</v>
      </c>
      <c r="L151" s="41">
        <f>M151*1.05</f>
        <v>214.20000000000002</v>
      </c>
      <c r="M151" s="3">
        <f>ROUND(194*1.05,0)</f>
        <v>204</v>
      </c>
      <c r="N151" s="219">
        <f t="shared" si="19"/>
        <v>170</v>
      </c>
      <c r="O151" s="153"/>
      <c r="P151" s="154">
        <v>134.75</v>
      </c>
      <c r="Q151" s="74">
        <v>151</v>
      </c>
    </row>
    <row r="152" spans="1:17" ht="18.75">
      <c r="A152" s="689"/>
      <c r="B152" s="490"/>
      <c r="C152" s="249" t="s">
        <v>12</v>
      </c>
      <c r="D152" s="117" t="s">
        <v>79</v>
      </c>
      <c r="E152" s="617"/>
      <c r="F152" s="617"/>
      <c r="G152" s="737"/>
      <c r="H152" s="735"/>
      <c r="I152" s="686"/>
      <c r="J152" s="218">
        <f t="shared" ref="J152:J165" si="20">M152*1.3</f>
        <v>265.2</v>
      </c>
      <c r="K152" s="3">
        <f t="shared" ref="K152:K165" si="21">J152*0.95</f>
        <v>251.93999999999997</v>
      </c>
      <c r="L152" s="41">
        <f t="shared" ref="L152:L165" si="22">M152*1.05</f>
        <v>214.20000000000002</v>
      </c>
      <c r="M152" s="3">
        <f t="shared" ref="M152:M158" si="23">ROUND(194*1.05,0)</f>
        <v>204</v>
      </c>
      <c r="N152" s="219">
        <f t="shared" si="19"/>
        <v>170</v>
      </c>
      <c r="O152" s="153"/>
      <c r="P152" s="154">
        <v>134.75</v>
      </c>
      <c r="Q152" s="74">
        <v>151</v>
      </c>
    </row>
    <row r="153" spans="1:17" ht="30">
      <c r="A153" s="689"/>
      <c r="B153" s="490"/>
      <c r="C153" s="249" t="s">
        <v>38</v>
      </c>
      <c r="D153" s="117" t="s">
        <v>79</v>
      </c>
      <c r="E153" s="617"/>
      <c r="F153" s="617"/>
      <c r="G153" s="737"/>
      <c r="H153" s="735"/>
      <c r="I153" s="686"/>
      <c r="J153" s="218">
        <f t="shared" si="20"/>
        <v>265.2</v>
      </c>
      <c r="K153" s="3">
        <f t="shared" si="21"/>
        <v>251.93999999999997</v>
      </c>
      <c r="L153" s="41">
        <f t="shared" si="22"/>
        <v>214.20000000000002</v>
      </c>
      <c r="M153" s="3">
        <f t="shared" si="23"/>
        <v>204</v>
      </c>
      <c r="N153" s="219">
        <f t="shared" si="19"/>
        <v>170</v>
      </c>
      <c r="O153" s="153"/>
      <c r="P153" s="154">
        <v>134.75</v>
      </c>
      <c r="Q153" s="74">
        <v>151</v>
      </c>
    </row>
    <row r="154" spans="1:17" ht="30">
      <c r="A154" s="689"/>
      <c r="B154" s="490"/>
      <c r="C154" s="249" t="s">
        <v>44</v>
      </c>
      <c r="D154" s="117" t="s">
        <v>79</v>
      </c>
      <c r="E154" s="617"/>
      <c r="F154" s="617"/>
      <c r="G154" s="737"/>
      <c r="H154" s="735"/>
      <c r="I154" s="686"/>
      <c r="J154" s="218">
        <f t="shared" si="20"/>
        <v>265.2</v>
      </c>
      <c r="K154" s="3">
        <f t="shared" si="21"/>
        <v>251.93999999999997</v>
      </c>
      <c r="L154" s="41">
        <f t="shared" si="22"/>
        <v>214.20000000000002</v>
      </c>
      <c r="M154" s="3">
        <f t="shared" si="23"/>
        <v>204</v>
      </c>
      <c r="N154" s="219">
        <f t="shared" si="19"/>
        <v>170</v>
      </c>
      <c r="O154" s="153"/>
      <c r="P154" s="154">
        <v>134.75</v>
      </c>
      <c r="Q154" s="74">
        <v>151</v>
      </c>
    </row>
    <row r="155" spans="1:17" ht="60">
      <c r="A155" s="689"/>
      <c r="B155" s="490"/>
      <c r="C155" s="252" t="s">
        <v>86</v>
      </c>
      <c r="D155" s="117" t="s">
        <v>79</v>
      </c>
      <c r="E155" s="617"/>
      <c r="F155" s="617"/>
      <c r="G155" s="737"/>
      <c r="H155" s="735"/>
      <c r="I155" s="686"/>
      <c r="J155" s="218">
        <f t="shared" si="20"/>
        <v>265.2</v>
      </c>
      <c r="K155" s="3">
        <f t="shared" si="21"/>
        <v>251.93999999999997</v>
      </c>
      <c r="L155" s="41">
        <f t="shared" si="22"/>
        <v>214.20000000000002</v>
      </c>
      <c r="M155" s="3">
        <f t="shared" si="23"/>
        <v>204</v>
      </c>
      <c r="N155" s="219">
        <f t="shared" si="19"/>
        <v>170</v>
      </c>
      <c r="O155" s="153"/>
      <c r="P155" s="154">
        <v>134.75</v>
      </c>
      <c r="Q155" s="74">
        <v>151</v>
      </c>
    </row>
    <row r="156" spans="1:17" ht="45">
      <c r="A156" s="689"/>
      <c r="B156" s="490"/>
      <c r="C156" s="249" t="s">
        <v>107</v>
      </c>
      <c r="D156" s="117" t="s">
        <v>79</v>
      </c>
      <c r="E156" s="617"/>
      <c r="F156" s="617"/>
      <c r="G156" s="737"/>
      <c r="H156" s="735"/>
      <c r="I156" s="686"/>
      <c r="J156" s="218">
        <f t="shared" si="20"/>
        <v>265.2</v>
      </c>
      <c r="K156" s="3">
        <f t="shared" si="21"/>
        <v>251.93999999999997</v>
      </c>
      <c r="L156" s="41">
        <f t="shared" si="22"/>
        <v>214.20000000000002</v>
      </c>
      <c r="M156" s="3">
        <f t="shared" si="23"/>
        <v>204</v>
      </c>
      <c r="N156" s="219">
        <f t="shared" si="19"/>
        <v>170</v>
      </c>
      <c r="O156" s="153"/>
      <c r="P156" s="154">
        <v>134.75</v>
      </c>
      <c r="Q156" s="74">
        <v>151</v>
      </c>
    </row>
    <row r="157" spans="1:17" ht="60">
      <c r="A157" s="689"/>
      <c r="B157" s="490"/>
      <c r="C157" s="249" t="s">
        <v>108</v>
      </c>
      <c r="D157" s="117" t="s">
        <v>79</v>
      </c>
      <c r="E157" s="617"/>
      <c r="F157" s="617"/>
      <c r="G157" s="737"/>
      <c r="H157" s="735"/>
      <c r="I157" s="686"/>
      <c r="J157" s="218">
        <f t="shared" si="20"/>
        <v>265.2</v>
      </c>
      <c r="K157" s="3">
        <f t="shared" si="21"/>
        <v>251.93999999999997</v>
      </c>
      <c r="L157" s="41">
        <f t="shared" si="22"/>
        <v>214.20000000000002</v>
      </c>
      <c r="M157" s="3">
        <f t="shared" si="23"/>
        <v>204</v>
      </c>
      <c r="N157" s="219">
        <f t="shared" si="19"/>
        <v>170</v>
      </c>
      <c r="O157" s="153"/>
      <c r="P157" s="154">
        <v>134.75</v>
      </c>
      <c r="Q157" s="74">
        <v>151</v>
      </c>
    </row>
    <row r="158" spans="1:17" ht="45.75" thickBot="1">
      <c r="A158" s="609"/>
      <c r="B158" s="492"/>
      <c r="C158" s="389" t="s">
        <v>92</v>
      </c>
      <c r="D158" s="124" t="s">
        <v>79</v>
      </c>
      <c r="E158" s="618"/>
      <c r="F158" s="618"/>
      <c r="G158" s="743"/>
      <c r="H158" s="778"/>
      <c r="I158" s="748"/>
      <c r="J158" s="220">
        <f t="shared" si="20"/>
        <v>265.2</v>
      </c>
      <c r="K158" s="4">
        <f t="shared" si="21"/>
        <v>251.93999999999997</v>
      </c>
      <c r="L158" s="221">
        <f t="shared" si="22"/>
        <v>214.20000000000002</v>
      </c>
      <c r="M158" s="4">
        <f t="shared" si="23"/>
        <v>204</v>
      </c>
      <c r="N158" s="222">
        <f t="shared" si="19"/>
        <v>170</v>
      </c>
      <c r="O158" s="153"/>
      <c r="P158" s="154">
        <v>134.75</v>
      </c>
      <c r="Q158" s="75">
        <v>151</v>
      </c>
    </row>
    <row r="159" spans="1:17" ht="15.75" thickBot="1">
      <c r="A159" s="603" t="s">
        <v>117</v>
      </c>
      <c r="B159" s="739"/>
      <c r="C159" s="739"/>
      <c r="D159" s="739"/>
      <c r="E159" s="739"/>
      <c r="F159" s="739"/>
      <c r="G159" s="739"/>
      <c r="H159" s="739"/>
      <c r="I159" s="739"/>
      <c r="J159" s="739"/>
      <c r="K159" s="739"/>
      <c r="L159" s="739"/>
      <c r="M159" s="739"/>
      <c r="N159" s="740"/>
      <c r="O159" s="153"/>
      <c r="P159" s="154"/>
      <c r="Q159" s="147"/>
    </row>
    <row r="160" spans="1:17" ht="19.5" thickBot="1">
      <c r="A160" s="613">
        <v>3</v>
      </c>
      <c r="B160" s="488"/>
      <c r="C160" s="366" t="s">
        <v>6</v>
      </c>
      <c r="D160" s="100" t="s">
        <v>79</v>
      </c>
      <c r="E160" s="753" t="s">
        <v>118</v>
      </c>
      <c r="F160" s="626">
        <v>200</v>
      </c>
      <c r="G160" s="744">
        <v>52</v>
      </c>
      <c r="H160" s="629">
        <v>1821</v>
      </c>
      <c r="I160" s="635">
        <v>11</v>
      </c>
      <c r="J160" s="173">
        <f t="shared" si="20"/>
        <v>127.4</v>
      </c>
      <c r="K160" s="103">
        <f t="shared" si="21"/>
        <v>121.03</v>
      </c>
      <c r="L160" s="165">
        <f t="shared" si="22"/>
        <v>102.9</v>
      </c>
      <c r="M160" s="276">
        <f>ROUND(93*1.05,0)</f>
        <v>98</v>
      </c>
      <c r="N160" s="155">
        <f t="shared" si="19"/>
        <v>81.67</v>
      </c>
      <c r="O160" s="174">
        <v>75.83</v>
      </c>
      <c r="P160" s="154"/>
      <c r="Q160" s="147"/>
    </row>
    <row r="161" spans="1:17" ht="19.5" thickBot="1">
      <c r="A161" s="614"/>
      <c r="B161" s="489"/>
      <c r="C161" s="252" t="s">
        <v>12</v>
      </c>
      <c r="D161" s="237"/>
      <c r="E161" s="754"/>
      <c r="F161" s="627"/>
      <c r="G161" s="745"/>
      <c r="H161" s="630"/>
      <c r="I161" s="592"/>
      <c r="J161" s="214">
        <f>M161*1.3</f>
        <v>152.1</v>
      </c>
      <c r="K161" s="215">
        <f>J161*0.95</f>
        <v>144.49499999999998</v>
      </c>
      <c r="L161" s="216">
        <f>M161*1.05</f>
        <v>122.85000000000001</v>
      </c>
      <c r="M161" s="215">
        <f>ROUND(111*1.05,0)</f>
        <v>117</v>
      </c>
      <c r="N161" s="263">
        <f>ROUND(M161/1.2,2)</f>
        <v>97.5</v>
      </c>
      <c r="O161" s="174">
        <v>90.83</v>
      </c>
      <c r="P161" s="154"/>
      <c r="Q161" s="147"/>
    </row>
    <row r="162" spans="1:17" ht="30.75" thickBot="1">
      <c r="A162" s="614"/>
      <c r="B162" s="489"/>
      <c r="C162" s="252" t="s">
        <v>44</v>
      </c>
      <c r="D162" s="237"/>
      <c r="E162" s="754"/>
      <c r="F162" s="627"/>
      <c r="G162" s="745"/>
      <c r="H162" s="630"/>
      <c r="I162" s="592"/>
      <c r="J162" s="218">
        <f>M162*1.3</f>
        <v>152.1</v>
      </c>
      <c r="K162" s="3">
        <f>J162*0.95</f>
        <v>144.49499999999998</v>
      </c>
      <c r="L162" s="41">
        <f>M162*1.05</f>
        <v>122.85000000000001</v>
      </c>
      <c r="M162" s="3">
        <f>ROUND(111*1.05,0)</f>
        <v>117</v>
      </c>
      <c r="N162" s="267">
        <f>ROUND(M162/1.2,2)</f>
        <v>97.5</v>
      </c>
      <c r="O162" s="174">
        <v>90.83</v>
      </c>
      <c r="P162" s="154"/>
      <c r="Q162" s="147"/>
    </row>
    <row r="163" spans="1:17" ht="30.75" thickBot="1">
      <c r="A163" s="614"/>
      <c r="B163" s="490"/>
      <c r="C163" s="249" t="s">
        <v>38</v>
      </c>
      <c r="D163" s="117"/>
      <c r="E163" s="754"/>
      <c r="F163" s="627"/>
      <c r="G163" s="745"/>
      <c r="H163" s="630"/>
      <c r="I163" s="592"/>
      <c r="J163" s="218">
        <f t="shared" si="20"/>
        <v>152.1</v>
      </c>
      <c r="K163" s="3">
        <f t="shared" si="21"/>
        <v>144.49499999999998</v>
      </c>
      <c r="L163" s="41">
        <f t="shared" si="22"/>
        <v>122.85000000000001</v>
      </c>
      <c r="M163" s="3">
        <f>ROUND(111*1.05,0)</f>
        <v>117</v>
      </c>
      <c r="N163" s="267">
        <f t="shared" si="19"/>
        <v>97.5</v>
      </c>
      <c r="O163" s="174">
        <v>90.83</v>
      </c>
      <c r="P163" s="154"/>
      <c r="Q163" s="147"/>
    </row>
    <row r="164" spans="1:17" ht="45.75" thickBot="1">
      <c r="A164" s="614"/>
      <c r="B164" s="491"/>
      <c r="C164" s="482" t="s">
        <v>93</v>
      </c>
      <c r="D164" s="22"/>
      <c r="E164" s="754"/>
      <c r="F164" s="627"/>
      <c r="G164" s="745"/>
      <c r="H164" s="630"/>
      <c r="I164" s="592"/>
      <c r="J164" s="218">
        <f>M164*1.3</f>
        <v>152.1</v>
      </c>
      <c r="K164" s="3">
        <f>J164*0.95</f>
        <v>144.49499999999998</v>
      </c>
      <c r="L164" s="41">
        <f>M164*1.05</f>
        <v>122.85000000000001</v>
      </c>
      <c r="M164" s="3">
        <f>ROUND(111*1.05,0)</f>
        <v>117</v>
      </c>
      <c r="N164" s="267">
        <f>ROUND(M164/1.2,2)</f>
        <v>97.5</v>
      </c>
      <c r="O164" s="174">
        <v>90.83</v>
      </c>
      <c r="P164" s="154"/>
      <c r="Q164" s="147"/>
    </row>
    <row r="165" spans="1:17" ht="60.75" thickBot="1">
      <c r="A165" s="615"/>
      <c r="B165" s="492"/>
      <c r="C165" s="389" t="s">
        <v>86</v>
      </c>
      <c r="D165" s="124"/>
      <c r="E165" s="755"/>
      <c r="F165" s="628"/>
      <c r="G165" s="746"/>
      <c r="H165" s="631"/>
      <c r="I165" s="593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71">
        <f t="shared" si="19"/>
        <v>97.5</v>
      </c>
      <c r="O165" s="174">
        <v>90.83</v>
      </c>
      <c r="P165" s="154"/>
      <c r="Q165" s="147"/>
    </row>
    <row r="166" spans="1:17" ht="15.75" thickBot="1">
      <c r="A166" s="649" t="s">
        <v>31</v>
      </c>
      <c r="B166" s="650"/>
      <c r="C166" s="650"/>
      <c r="D166" s="650"/>
      <c r="E166" s="650"/>
      <c r="F166" s="650"/>
      <c r="G166" s="650"/>
      <c r="H166" s="650"/>
      <c r="I166" s="650"/>
      <c r="J166" s="650"/>
      <c r="K166" s="650"/>
      <c r="L166" s="650"/>
      <c r="M166" s="650"/>
      <c r="N166" s="651"/>
      <c r="O166" s="153"/>
      <c r="P166" s="154">
        <v>0</v>
      </c>
      <c r="Q166" s="71"/>
    </row>
    <row r="167" spans="1:17" ht="19.5" thickBot="1">
      <c r="A167" s="779">
        <v>4</v>
      </c>
      <c r="B167" s="484"/>
      <c r="C167" s="146" t="s">
        <v>6</v>
      </c>
      <c r="D167" s="47" t="s">
        <v>79</v>
      </c>
      <c r="E167" s="421" t="s">
        <v>64</v>
      </c>
      <c r="F167" s="756">
        <v>60</v>
      </c>
      <c r="G167" s="372">
        <v>60</v>
      </c>
      <c r="H167" s="369">
        <v>1498</v>
      </c>
      <c r="I167" s="404">
        <v>13</v>
      </c>
      <c r="J167" s="102">
        <f>ROUND(M167+M167*R167,0)</f>
        <v>322</v>
      </c>
      <c r="K167" s="103">
        <f>J167*0.97</f>
        <v>312.33999999999997</v>
      </c>
      <c r="L167" s="91">
        <f>M167*1.03</f>
        <v>331.66</v>
      </c>
      <c r="M167" s="103">
        <f>ROUND(307*1.05,0)</f>
        <v>322</v>
      </c>
      <c r="N167" s="104">
        <f>ROUND(M167/1.2,2)</f>
        <v>268.33</v>
      </c>
      <c r="O167" s="153"/>
      <c r="P167" s="154">
        <v>211.86</v>
      </c>
      <c r="Q167" s="78">
        <v>238</v>
      </c>
    </row>
    <row r="168" spans="1:17" ht="18.75">
      <c r="A168" s="614"/>
      <c r="B168" s="485"/>
      <c r="C168" s="405" t="s">
        <v>44</v>
      </c>
      <c r="D168" s="114"/>
      <c r="E168" s="422" t="s">
        <v>64</v>
      </c>
      <c r="F168" s="757"/>
      <c r="G168" s="152">
        <v>60</v>
      </c>
      <c r="H168" s="120">
        <v>1498</v>
      </c>
      <c r="I168" s="121">
        <v>13</v>
      </c>
      <c r="J168" s="214">
        <f>ROUND(M168+M168*R168,0)</f>
        <v>431</v>
      </c>
      <c r="K168" s="215">
        <f>J168*0.95</f>
        <v>409.45</v>
      </c>
      <c r="L168" s="216">
        <f>M168*1.04</f>
        <v>448.24</v>
      </c>
      <c r="M168" s="215">
        <f>ROUND(410*1.05,0)</f>
        <v>431</v>
      </c>
      <c r="N168" s="217">
        <f>ROUND(M168/1.2,2)</f>
        <v>359.17</v>
      </c>
      <c r="O168" s="153"/>
      <c r="P168" s="154">
        <v>284.75</v>
      </c>
      <c r="Q168" s="78">
        <v>320</v>
      </c>
    </row>
    <row r="169" spans="1:17" ht="18.75">
      <c r="A169" s="614"/>
      <c r="B169" s="486"/>
      <c r="C169" s="406" t="s">
        <v>38</v>
      </c>
      <c r="D169" s="115"/>
      <c r="E169" s="423" t="s">
        <v>64</v>
      </c>
      <c r="F169" s="757"/>
      <c r="G169" s="150">
        <v>60</v>
      </c>
      <c r="H169" s="122">
        <v>1498</v>
      </c>
      <c r="I169" s="123">
        <v>13</v>
      </c>
      <c r="J169" s="218">
        <f>ROUND(M169+M169*R169,0)</f>
        <v>431</v>
      </c>
      <c r="K169" s="3">
        <f>J169*0.95</f>
        <v>409.45</v>
      </c>
      <c r="L169" s="41">
        <f>M169*1.04</f>
        <v>448.24</v>
      </c>
      <c r="M169" s="3">
        <f>ROUND(410*1.05,0)</f>
        <v>431</v>
      </c>
      <c r="N169" s="219">
        <f>ROUND(M169/1.2,2)</f>
        <v>359.17</v>
      </c>
      <c r="O169" s="153"/>
      <c r="P169" s="154">
        <v>284.75</v>
      </c>
      <c r="Q169" s="78">
        <v>320</v>
      </c>
    </row>
    <row r="170" spans="1:17" ht="19.5" thickBot="1">
      <c r="A170" s="615"/>
      <c r="B170" s="487"/>
      <c r="C170" s="407" t="s">
        <v>12</v>
      </c>
      <c r="D170" s="172"/>
      <c r="E170" s="424" t="s">
        <v>64</v>
      </c>
      <c r="F170" s="758"/>
      <c r="G170" s="151">
        <v>60</v>
      </c>
      <c r="H170" s="125">
        <v>1498</v>
      </c>
      <c r="I170" s="126">
        <v>13</v>
      </c>
      <c r="J170" s="220">
        <f>ROUND(M170+M170*R170,0)</f>
        <v>431</v>
      </c>
      <c r="K170" s="4">
        <f>J170*0.95</f>
        <v>409.45</v>
      </c>
      <c r="L170" s="221">
        <f>M170*1.04</f>
        <v>448.24</v>
      </c>
      <c r="M170" s="4">
        <f>ROUND(410*1.05,0)</f>
        <v>431</v>
      </c>
      <c r="N170" s="222">
        <f>ROUND(M170/1.2,2)</f>
        <v>359.17</v>
      </c>
      <c r="O170" s="153"/>
      <c r="P170" s="154">
        <v>284.75</v>
      </c>
      <c r="Q170" s="79">
        <v>320</v>
      </c>
    </row>
    <row r="171" spans="1:17" ht="19.5" thickBot="1">
      <c r="A171" s="80"/>
      <c r="B171" s="92"/>
      <c r="C171" s="92"/>
      <c r="D171" s="81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</row>
    <row r="172" spans="1:17" ht="21.75" thickBot="1">
      <c r="A172" s="774" t="s">
        <v>140</v>
      </c>
      <c r="B172" s="775"/>
      <c r="C172" s="775"/>
      <c r="D172" s="775"/>
      <c r="E172" s="775"/>
      <c r="F172" s="775"/>
      <c r="G172" s="775"/>
      <c r="H172" s="775"/>
      <c r="I172" s="775"/>
      <c r="J172" s="775"/>
      <c r="K172" s="775"/>
      <c r="L172" s="775"/>
      <c r="M172" s="775"/>
      <c r="N172" s="775"/>
      <c r="O172" s="775"/>
      <c r="P172" s="775"/>
      <c r="Q172" s="776"/>
    </row>
    <row r="173" spans="1:17" ht="123" thickBot="1">
      <c r="A173" s="93" t="s">
        <v>0</v>
      </c>
      <c r="B173" s="594" t="s">
        <v>5</v>
      </c>
      <c r="C173" s="595"/>
      <c r="D173" s="596"/>
      <c r="E173" s="94" t="s">
        <v>7</v>
      </c>
      <c r="F173" s="94" t="s">
        <v>16</v>
      </c>
      <c r="G173" s="94" t="s">
        <v>138</v>
      </c>
      <c r="H173" s="95" t="s">
        <v>8</v>
      </c>
      <c r="I173" s="94" t="s">
        <v>25</v>
      </c>
      <c r="J173" s="96" t="s">
        <v>33</v>
      </c>
      <c r="K173" s="94" t="s">
        <v>56</v>
      </c>
      <c r="L173" s="95" t="s">
        <v>82</v>
      </c>
      <c r="M173" s="94" t="s">
        <v>53</v>
      </c>
      <c r="N173" s="97" t="s">
        <v>54</v>
      </c>
      <c r="O173" s="428">
        <v>1.05</v>
      </c>
      <c r="P173" s="94" t="s">
        <v>119</v>
      </c>
      <c r="Q173" s="94" t="s">
        <v>120</v>
      </c>
    </row>
    <row r="174" spans="1:17" ht="15.75" thickBot="1">
      <c r="A174" s="603" t="s">
        <v>34</v>
      </c>
      <c r="B174" s="604"/>
      <c r="C174" s="604"/>
      <c r="D174" s="604"/>
      <c r="E174" s="604"/>
      <c r="F174" s="604"/>
      <c r="G174" s="604"/>
      <c r="H174" s="604"/>
      <c r="I174" s="604"/>
      <c r="J174" s="604"/>
      <c r="K174" s="604"/>
      <c r="L174" s="604"/>
      <c r="M174" s="604"/>
      <c r="N174" s="605"/>
      <c r="O174" s="429"/>
      <c r="P174" s="430">
        <v>0</v>
      </c>
      <c r="Q174" s="431"/>
    </row>
    <row r="175" spans="1:17" ht="18.75">
      <c r="A175" s="613">
        <v>1</v>
      </c>
      <c r="B175" s="374"/>
      <c r="C175" s="292" t="s">
        <v>15</v>
      </c>
      <c r="D175" s="127" t="s">
        <v>113</v>
      </c>
      <c r="E175" s="295" t="s">
        <v>40</v>
      </c>
      <c r="F175" s="416">
        <v>60</v>
      </c>
      <c r="G175" s="306">
        <v>12.24</v>
      </c>
      <c r="H175" s="286">
        <v>1650</v>
      </c>
      <c r="I175" s="131">
        <v>12</v>
      </c>
      <c r="J175" s="214">
        <f>ROUND(M175+M175*R175,0)</f>
        <v>1024</v>
      </c>
      <c r="K175" s="215">
        <f>ROUND(J175-(J175*S175),0)</f>
        <v>1024</v>
      </c>
      <c r="L175" s="216">
        <f>M175*1.04</f>
        <v>1064.96</v>
      </c>
      <c r="M175" s="215">
        <f>ROUND(975*1.05,0)</f>
        <v>1024</v>
      </c>
      <c r="N175" s="217">
        <f>ROUND(M175/1.2,2)</f>
        <v>853.33</v>
      </c>
      <c r="O175" s="429"/>
      <c r="P175" s="430"/>
      <c r="Q175" s="313"/>
    </row>
    <row r="176" spans="1:17" ht="19.5" thickBot="1">
      <c r="A176" s="615"/>
      <c r="B176" s="375"/>
      <c r="C176" s="294" t="s">
        <v>38</v>
      </c>
      <c r="D176" s="118" t="s">
        <v>113</v>
      </c>
      <c r="E176" s="296" t="s">
        <v>40</v>
      </c>
      <c r="F176" s="417">
        <v>60</v>
      </c>
      <c r="G176" s="307">
        <v>12.24</v>
      </c>
      <c r="H176" s="288">
        <v>1650</v>
      </c>
      <c r="I176" s="167">
        <v>12</v>
      </c>
      <c r="J176" s="220">
        <f>ROUND(M176+M176*R176,0)</f>
        <v>1024</v>
      </c>
      <c r="K176" s="4">
        <f>ROUND(J176-(J176*S176),0)</f>
        <v>1024</v>
      </c>
      <c r="L176" s="221">
        <f>M176*1.04</f>
        <v>1064.96</v>
      </c>
      <c r="M176" s="4">
        <f>ROUND(975*1.05,0)</f>
        <v>1024</v>
      </c>
      <c r="N176" s="222">
        <f>ROUND(M176/1.2,2)</f>
        <v>853.33</v>
      </c>
      <c r="O176" s="429"/>
      <c r="P176" s="430"/>
      <c r="Q176" s="313"/>
    </row>
    <row r="177" spans="1:17" ht="15.75" thickBot="1">
      <c r="A177" s="603" t="s">
        <v>10</v>
      </c>
      <c r="B177" s="604"/>
      <c r="C177" s="604"/>
      <c r="D177" s="604"/>
      <c r="E177" s="604"/>
      <c r="F177" s="604"/>
      <c r="G177" s="604"/>
      <c r="H177" s="604"/>
      <c r="I177" s="604"/>
      <c r="J177" s="604"/>
      <c r="K177" s="604"/>
      <c r="L177" s="604"/>
      <c r="M177" s="604"/>
      <c r="N177" s="605"/>
      <c r="O177" s="429"/>
      <c r="P177" s="430">
        <v>0</v>
      </c>
      <c r="Q177" s="432"/>
    </row>
    <row r="178" spans="1:17" ht="75.75" thickBot="1">
      <c r="A178" s="168">
        <v>2</v>
      </c>
      <c r="B178" s="98"/>
      <c r="C178" s="132" t="s">
        <v>6</v>
      </c>
      <c r="D178" s="133" t="s">
        <v>113</v>
      </c>
      <c r="E178" s="134" t="s">
        <v>129</v>
      </c>
      <c r="F178" s="134">
        <v>80</v>
      </c>
      <c r="G178" s="148">
        <v>11.52</v>
      </c>
      <c r="H178" s="129">
        <v>2159</v>
      </c>
      <c r="I178" s="130">
        <v>9</v>
      </c>
      <c r="J178" s="102">
        <f>ROUND(M178+M178*R178,0)</f>
        <v>1078</v>
      </c>
      <c r="K178" s="103">
        <f>ROUND(J178-(J178*S178),0)</f>
        <v>1078</v>
      </c>
      <c r="L178" s="91">
        <f>M178*1.03</f>
        <v>1110.3399999999999</v>
      </c>
      <c r="M178" s="103">
        <f>ROUND(1027*1.05,0)</f>
        <v>1078</v>
      </c>
      <c r="N178" s="104">
        <f>ROUND(M178/1.2,2)</f>
        <v>898.33</v>
      </c>
      <c r="O178" s="429"/>
      <c r="P178" s="430">
        <v>711.86</v>
      </c>
      <c r="Q178" s="62">
        <v>800</v>
      </c>
    </row>
    <row r="179" spans="1:17" ht="15.75" thickBot="1">
      <c r="A179" s="603" t="s">
        <v>2</v>
      </c>
      <c r="B179" s="604"/>
      <c r="C179" s="604"/>
      <c r="D179" s="604"/>
      <c r="E179" s="604"/>
      <c r="F179" s="604"/>
      <c r="G179" s="604"/>
      <c r="H179" s="604"/>
      <c r="I179" s="604"/>
      <c r="J179" s="604"/>
      <c r="K179" s="604"/>
      <c r="L179" s="604"/>
      <c r="M179" s="604"/>
      <c r="N179" s="605"/>
      <c r="O179" s="429"/>
      <c r="P179" s="430">
        <v>0</v>
      </c>
      <c r="Q179" s="432"/>
    </row>
    <row r="180" spans="1:17" ht="18.75">
      <c r="A180" s="705">
        <v>3</v>
      </c>
      <c r="B180" s="676"/>
      <c r="C180" s="690" t="s">
        <v>6</v>
      </c>
      <c r="D180" s="127" t="s">
        <v>113</v>
      </c>
      <c r="E180" s="749" t="s">
        <v>17</v>
      </c>
      <c r="F180" s="374">
        <v>60</v>
      </c>
      <c r="G180" s="203">
        <v>12</v>
      </c>
      <c r="H180" s="135">
        <v>1654</v>
      </c>
      <c r="I180" s="200">
        <v>12</v>
      </c>
      <c r="J180" s="214">
        <f t="shared" ref="J180:J191" si="24">ROUND(M180+M180*R180,0)</f>
        <v>969</v>
      </c>
      <c r="K180" s="215">
        <f t="shared" ref="K180:K191" si="25">ROUND(J180-(J180*S180),0)</f>
        <v>969</v>
      </c>
      <c r="L180" s="216">
        <f>M180*1.03</f>
        <v>998.07</v>
      </c>
      <c r="M180" s="215">
        <f>ROUND(923*1.05,0)</f>
        <v>969</v>
      </c>
      <c r="N180" s="263">
        <f t="shared" ref="N180:N191" si="26">ROUND(M180/1.2,2)</f>
        <v>807.5</v>
      </c>
      <c r="O180" s="353"/>
      <c r="P180" s="354">
        <v>640.67999999999995</v>
      </c>
      <c r="Q180" s="28">
        <v>720</v>
      </c>
    </row>
    <row r="181" spans="1:17" ht="18.75">
      <c r="A181" s="706"/>
      <c r="B181" s="759"/>
      <c r="C181" s="691"/>
      <c r="D181" s="116" t="s">
        <v>113</v>
      </c>
      <c r="E181" s="750"/>
      <c r="F181" s="441">
        <v>70</v>
      </c>
      <c r="G181" s="204">
        <v>11</v>
      </c>
      <c r="H181" s="137">
        <v>1773</v>
      </c>
      <c r="I181" s="201">
        <v>11</v>
      </c>
      <c r="J181" s="218">
        <f t="shared" si="24"/>
        <v>1024</v>
      </c>
      <c r="K181" s="3">
        <f t="shared" si="25"/>
        <v>1024</v>
      </c>
      <c r="L181" s="41">
        <f>M181*1.03</f>
        <v>1054.72</v>
      </c>
      <c r="M181" s="3">
        <f>ROUND(975*1.05,0)</f>
        <v>1024</v>
      </c>
      <c r="N181" s="219">
        <f t="shared" si="26"/>
        <v>853.33</v>
      </c>
      <c r="O181" s="355"/>
      <c r="P181" s="356">
        <v>676.27</v>
      </c>
      <c r="Q181" s="55">
        <v>760</v>
      </c>
    </row>
    <row r="182" spans="1:17" ht="19.5" thickBot="1">
      <c r="A182" s="706"/>
      <c r="B182" s="618"/>
      <c r="C182" s="692"/>
      <c r="D182" s="411" t="s">
        <v>113</v>
      </c>
      <c r="E182" s="750"/>
      <c r="F182" s="375">
        <v>80</v>
      </c>
      <c r="G182" s="440">
        <v>10</v>
      </c>
      <c r="H182" s="288">
        <v>1842</v>
      </c>
      <c r="I182" s="143">
        <v>10</v>
      </c>
      <c r="J182" s="220">
        <f t="shared" si="24"/>
        <v>1146</v>
      </c>
      <c r="K182" s="4">
        <f t="shared" si="25"/>
        <v>1146</v>
      </c>
      <c r="L182" s="221">
        <f>M182*1.03</f>
        <v>1180.3800000000001</v>
      </c>
      <c r="M182" s="4">
        <f>ROUND(1091*1.05,0)</f>
        <v>1146</v>
      </c>
      <c r="N182" s="222">
        <f t="shared" si="26"/>
        <v>955</v>
      </c>
      <c r="O182" s="357"/>
      <c r="P182" s="358">
        <v>756.78</v>
      </c>
      <c r="Q182" s="63">
        <v>850</v>
      </c>
    </row>
    <row r="183" spans="1:17" ht="18.75">
      <c r="A183" s="706"/>
      <c r="B183" s="616"/>
      <c r="C183" s="766" t="s">
        <v>12</v>
      </c>
      <c r="D183" s="127" t="s">
        <v>113</v>
      </c>
      <c r="E183" s="750"/>
      <c r="F183" s="374">
        <v>60</v>
      </c>
      <c r="G183" s="203">
        <v>12</v>
      </c>
      <c r="H183" s="135">
        <v>1654</v>
      </c>
      <c r="I183" s="200">
        <v>12</v>
      </c>
      <c r="J183" s="359">
        <f t="shared" si="24"/>
        <v>1184</v>
      </c>
      <c r="K183" s="360">
        <f t="shared" si="25"/>
        <v>1184</v>
      </c>
      <c r="L183" s="216">
        <f>M183*1.04</f>
        <v>1231.3600000000001</v>
      </c>
      <c r="M183" s="215">
        <f>ROUND(1128*1.05,0)</f>
        <v>1184</v>
      </c>
      <c r="N183" s="361">
        <f t="shared" si="26"/>
        <v>986.67</v>
      </c>
      <c r="O183" s="353"/>
      <c r="P183" s="354">
        <v>783.05</v>
      </c>
      <c r="Q183" s="28">
        <v>880</v>
      </c>
    </row>
    <row r="184" spans="1:17" ht="18.75">
      <c r="A184" s="706"/>
      <c r="B184" s="617"/>
      <c r="C184" s="752"/>
      <c r="D184" s="116" t="s">
        <v>113</v>
      </c>
      <c r="E184" s="750"/>
      <c r="F184" s="441">
        <v>70</v>
      </c>
      <c r="G184" s="204">
        <v>11</v>
      </c>
      <c r="H184" s="137">
        <v>1773</v>
      </c>
      <c r="I184" s="201">
        <v>11</v>
      </c>
      <c r="J184" s="218">
        <f t="shared" si="24"/>
        <v>1212</v>
      </c>
      <c r="K184" s="3">
        <f t="shared" si="25"/>
        <v>1212</v>
      </c>
      <c r="L184" s="41">
        <f t="shared" ref="L184:L191" si="27">M184*1.04</f>
        <v>1260.48</v>
      </c>
      <c r="M184" s="3">
        <f>ROUND(1154*1.05,0)</f>
        <v>1212</v>
      </c>
      <c r="N184" s="219">
        <f t="shared" si="26"/>
        <v>1010</v>
      </c>
      <c r="O184" s="355"/>
      <c r="P184" s="356">
        <v>800.85</v>
      </c>
      <c r="Q184" s="55">
        <v>900</v>
      </c>
    </row>
    <row r="185" spans="1:17" ht="19.5" thickBot="1">
      <c r="A185" s="706"/>
      <c r="B185" s="618"/>
      <c r="C185" s="767"/>
      <c r="D185" s="118" t="s">
        <v>113</v>
      </c>
      <c r="E185" s="750"/>
      <c r="F185" s="375">
        <v>80</v>
      </c>
      <c r="G185" s="440">
        <v>10</v>
      </c>
      <c r="H185" s="288">
        <v>1842</v>
      </c>
      <c r="I185" s="143">
        <v>10</v>
      </c>
      <c r="J185" s="220">
        <f t="shared" si="24"/>
        <v>1238</v>
      </c>
      <c r="K185" s="4">
        <f t="shared" si="25"/>
        <v>1238</v>
      </c>
      <c r="L185" s="221">
        <f t="shared" si="27"/>
        <v>1287.52</v>
      </c>
      <c r="M185" s="4">
        <f>ROUND(1179*1.05,0)</f>
        <v>1238</v>
      </c>
      <c r="N185" s="222">
        <f t="shared" si="26"/>
        <v>1031.67</v>
      </c>
      <c r="O185" s="357"/>
      <c r="P185" s="358">
        <v>818.64</v>
      </c>
      <c r="Q185" s="63">
        <v>920</v>
      </c>
    </row>
    <row r="186" spans="1:17" ht="18.75">
      <c r="A186" s="706"/>
      <c r="B186" s="616"/>
      <c r="C186" s="707" t="s">
        <v>13</v>
      </c>
      <c r="D186" s="127" t="s">
        <v>113</v>
      </c>
      <c r="E186" s="750"/>
      <c r="F186" s="374">
        <v>60</v>
      </c>
      <c r="G186" s="203">
        <v>12</v>
      </c>
      <c r="H186" s="135">
        <v>1654</v>
      </c>
      <c r="I186" s="200">
        <v>12</v>
      </c>
      <c r="J186" s="359">
        <f t="shared" si="24"/>
        <v>1184</v>
      </c>
      <c r="K186" s="360">
        <f t="shared" si="25"/>
        <v>1184</v>
      </c>
      <c r="L186" s="216">
        <f t="shared" si="27"/>
        <v>1231.3600000000001</v>
      </c>
      <c r="M186" s="215">
        <f>ROUND(1128*1.05,0)</f>
        <v>1184</v>
      </c>
      <c r="N186" s="361">
        <f t="shared" si="26"/>
        <v>986.67</v>
      </c>
      <c r="O186" s="353"/>
      <c r="P186" s="354">
        <v>783.05</v>
      </c>
      <c r="Q186" s="28">
        <v>880</v>
      </c>
    </row>
    <row r="187" spans="1:17" ht="18.75">
      <c r="A187" s="706"/>
      <c r="B187" s="768"/>
      <c r="C187" s="752"/>
      <c r="D187" s="116" t="s">
        <v>113</v>
      </c>
      <c r="E187" s="750"/>
      <c r="F187" s="441">
        <v>70</v>
      </c>
      <c r="G187" s="204">
        <v>11</v>
      </c>
      <c r="H187" s="137">
        <v>1773</v>
      </c>
      <c r="I187" s="201">
        <v>11</v>
      </c>
      <c r="J187" s="218">
        <f t="shared" si="24"/>
        <v>1212</v>
      </c>
      <c r="K187" s="3">
        <f t="shared" si="25"/>
        <v>1212</v>
      </c>
      <c r="L187" s="41">
        <f t="shared" si="27"/>
        <v>1260.48</v>
      </c>
      <c r="M187" s="3">
        <f>ROUND(1154*1.05,0)</f>
        <v>1212</v>
      </c>
      <c r="N187" s="219">
        <f t="shared" si="26"/>
        <v>1010</v>
      </c>
      <c r="O187" s="355"/>
      <c r="P187" s="356">
        <v>800.85</v>
      </c>
      <c r="Q187" s="55">
        <v>900</v>
      </c>
    </row>
    <row r="188" spans="1:17" ht="19.5" thickBot="1">
      <c r="A188" s="706"/>
      <c r="B188" s="769"/>
      <c r="C188" s="708"/>
      <c r="D188" s="118" t="s">
        <v>113</v>
      </c>
      <c r="E188" s="750"/>
      <c r="F188" s="375">
        <v>80</v>
      </c>
      <c r="G188" s="440">
        <v>10</v>
      </c>
      <c r="H188" s="288">
        <v>1842</v>
      </c>
      <c r="I188" s="143">
        <v>10</v>
      </c>
      <c r="J188" s="220">
        <f t="shared" si="24"/>
        <v>1238</v>
      </c>
      <c r="K188" s="4">
        <f t="shared" si="25"/>
        <v>1238</v>
      </c>
      <c r="L188" s="221">
        <f t="shared" si="27"/>
        <v>1287.52</v>
      </c>
      <c r="M188" s="4">
        <f>ROUND(1179*1.05,0)</f>
        <v>1238</v>
      </c>
      <c r="N188" s="222">
        <f t="shared" si="26"/>
        <v>1031.67</v>
      </c>
      <c r="O188" s="357"/>
      <c r="P188" s="358">
        <v>818.64</v>
      </c>
      <c r="Q188" s="63">
        <v>920</v>
      </c>
    </row>
    <row r="189" spans="1:17" ht="18.75">
      <c r="A189" s="706"/>
      <c r="B189" s="676"/>
      <c r="C189" s="690" t="s">
        <v>28</v>
      </c>
      <c r="D189" s="403" t="s">
        <v>113</v>
      </c>
      <c r="E189" s="750"/>
      <c r="F189" s="374">
        <v>60</v>
      </c>
      <c r="G189" s="203">
        <v>12</v>
      </c>
      <c r="H189" s="135">
        <v>1654</v>
      </c>
      <c r="I189" s="200">
        <v>12</v>
      </c>
      <c r="J189" s="359">
        <f t="shared" si="24"/>
        <v>1184</v>
      </c>
      <c r="K189" s="360">
        <f t="shared" si="25"/>
        <v>1184</v>
      </c>
      <c r="L189" s="216">
        <f t="shared" si="27"/>
        <v>1231.3600000000001</v>
      </c>
      <c r="M189" s="215">
        <f>ROUND(1128*1.05,0)</f>
        <v>1184</v>
      </c>
      <c r="N189" s="361">
        <f t="shared" si="26"/>
        <v>986.67</v>
      </c>
      <c r="O189" s="353"/>
      <c r="P189" s="354">
        <v>783.05</v>
      </c>
      <c r="Q189" s="28">
        <v>880</v>
      </c>
    </row>
    <row r="190" spans="1:17" ht="18.75">
      <c r="A190" s="706"/>
      <c r="B190" s="617"/>
      <c r="C190" s="691"/>
      <c r="D190" s="116" t="s">
        <v>113</v>
      </c>
      <c r="E190" s="750"/>
      <c r="F190" s="441">
        <v>70</v>
      </c>
      <c r="G190" s="204">
        <v>11</v>
      </c>
      <c r="H190" s="137">
        <v>1773</v>
      </c>
      <c r="I190" s="201">
        <v>11</v>
      </c>
      <c r="J190" s="218">
        <f t="shared" si="24"/>
        <v>1212</v>
      </c>
      <c r="K190" s="3">
        <f t="shared" si="25"/>
        <v>1212</v>
      </c>
      <c r="L190" s="41">
        <f t="shared" si="27"/>
        <v>1260.48</v>
      </c>
      <c r="M190" s="3">
        <f>ROUND(1154*1.05,0)</f>
        <v>1212</v>
      </c>
      <c r="N190" s="219">
        <f t="shared" si="26"/>
        <v>1010</v>
      </c>
      <c r="O190" s="355"/>
      <c r="P190" s="356">
        <v>800.85</v>
      </c>
      <c r="Q190" s="55">
        <v>900</v>
      </c>
    </row>
    <row r="191" spans="1:17" ht="19.5" thickBot="1">
      <c r="A191" s="764"/>
      <c r="B191" s="618"/>
      <c r="C191" s="692"/>
      <c r="D191" s="118" t="s">
        <v>113</v>
      </c>
      <c r="E191" s="751"/>
      <c r="F191" s="375">
        <v>80</v>
      </c>
      <c r="G191" s="440">
        <v>10</v>
      </c>
      <c r="H191" s="288">
        <v>1842</v>
      </c>
      <c r="I191" s="143">
        <v>10</v>
      </c>
      <c r="J191" s="220">
        <f t="shared" si="24"/>
        <v>1238</v>
      </c>
      <c r="K191" s="4">
        <f t="shared" si="25"/>
        <v>1238</v>
      </c>
      <c r="L191" s="221">
        <f t="shared" si="27"/>
        <v>1287.52</v>
      </c>
      <c r="M191" s="4">
        <f>ROUND(1179*1.05,0)</f>
        <v>1238</v>
      </c>
      <c r="N191" s="222">
        <f t="shared" si="26"/>
        <v>1031.67</v>
      </c>
      <c r="O191" s="357"/>
      <c r="P191" s="358">
        <v>818.64</v>
      </c>
      <c r="Q191" s="63">
        <v>920</v>
      </c>
    </row>
    <row r="192" spans="1:17" ht="15.75" thickBot="1">
      <c r="A192" s="603" t="s">
        <v>81</v>
      </c>
      <c r="B192" s="604"/>
      <c r="C192" s="604"/>
      <c r="D192" s="604"/>
      <c r="E192" s="604"/>
      <c r="F192" s="604"/>
      <c r="G192" s="604"/>
      <c r="H192" s="604"/>
      <c r="I192" s="604"/>
      <c r="J192" s="604"/>
      <c r="K192" s="604"/>
      <c r="L192" s="604"/>
      <c r="M192" s="604"/>
      <c r="N192" s="605"/>
      <c r="O192" s="429"/>
      <c r="P192" s="430">
        <v>0</v>
      </c>
      <c r="Q192" s="433"/>
    </row>
    <row r="193" spans="1:17" ht="18.75">
      <c r="A193" s="693">
        <v>4</v>
      </c>
      <c r="B193" s="144"/>
      <c r="C193" s="304" t="s">
        <v>6</v>
      </c>
      <c r="D193" s="127" t="s">
        <v>113</v>
      </c>
      <c r="E193" s="292" t="s">
        <v>41</v>
      </c>
      <c r="F193" s="701">
        <v>60</v>
      </c>
      <c r="G193" s="306">
        <v>10.38</v>
      </c>
      <c r="H193" s="286">
        <v>1448</v>
      </c>
      <c r="I193" s="298">
        <v>13</v>
      </c>
      <c r="J193" s="214">
        <f>ROUND(M193+M193*R193,0)</f>
        <v>1131</v>
      </c>
      <c r="K193" s="215">
        <f>ROUND(J193-(J193*S193),0)</f>
        <v>1131</v>
      </c>
      <c r="L193" s="216">
        <f>M193*1.03</f>
        <v>1164.93</v>
      </c>
      <c r="M193" s="215">
        <f>ROUND(1077*1.05,0)</f>
        <v>1131</v>
      </c>
      <c r="N193" s="263">
        <f>ROUND(M193/1.2,2)</f>
        <v>942.5</v>
      </c>
      <c r="O193" s="353"/>
      <c r="P193" s="354">
        <v>747.46</v>
      </c>
      <c r="Q193" s="28">
        <v>840</v>
      </c>
    </row>
    <row r="194" spans="1:17" ht="19.5" thickBot="1">
      <c r="A194" s="694"/>
      <c r="B194" s="145"/>
      <c r="C194" s="305" t="s">
        <v>12</v>
      </c>
      <c r="D194" s="118" t="s">
        <v>113</v>
      </c>
      <c r="E194" s="294" t="s">
        <v>41</v>
      </c>
      <c r="F194" s="703"/>
      <c r="G194" s="307">
        <v>10.38</v>
      </c>
      <c r="H194" s="288">
        <v>1448</v>
      </c>
      <c r="I194" s="301">
        <v>13</v>
      </c>
      <c r="J194" s="220">
        <f>ROUND(M194+M194*R194,0)</f>
        <v>1173</v>
      </c>
      <c r="K194" s="4">
        <f>ROUND(J194-(J194*S194),0)</f>
        <v>1173</v>
      </c>
      <c r="L194" s="221">
        <f>M194*1.04</f>
        <v>1219.92</v>
      </c>
      <c r="M194" s="4">
        <f>ROUND(1117*1.05,0)</f>
        <v>1173</v>
      </c>
      <c r="N194" s="271">
        <f>ROUND(M194/1.2,2)</f>
        <v>977.5</v>
      </c>
      <c r="O194" s="357"/>
      <c r="P194" s="358">
        <v>774.58</v>
      </c>
      <c r="Q194" s="63">
        <v>870</v>
      </c>
    </row>
    <row r="195" spans="1:17" ht="16.5" thickBot="1">
      <c r="A195" s="597" t="s">
        <v>9</v>
      </c>
      <c r="B195" s="598"/>
      <c r="C195" s="598"/>
      <c r="D195" s="598"/>
      <c r="E195" s="598"/>
      <c r="F195" s="598"/>
      <c r="G195" s="598"/>
      <c r="H195" s="598"/>
      <c r="I195" s="598"/>
      <c r="J195" s="598"/>
      <c r="K195" s="598"/>
      <c r="L195" s="598"/>
      <c r="M195" s="598"/>
      <c r="N195" s="599"/>
      <c r="O195" s="429"/>
      <c r="P195" s="430">
        <v>0</v>
      </c>
      <c r="Q195" s="434"/>
    </row>
    <row r="196" spans="1:17" ht="15.75" thickBot="1">
      <c r="A196" s="649" t="s">
        <v>27</v>
      </c>
      <c r="B196" s="650"/>
      <c r="C196" s="650"/>
      <c r="D196" s="650"/>
      <c r="E196" s="650"/>
      <c r="F196" s="650"/>
      <c r="G196" s="650"/>
      <c r="H196" s="650"/>
      <c r="I196" s="650"/>
      <c r="J196" s="650"/>
      <c r="K196" s="650"/>
      <c r="L196" s="650"/>
      <c r="M196" s="650"/>
      <c r="N196" s="651"/>
      <c r="O196" s="429"/>
      <c r="P196" s="430">
        <v>0</v>
      </c>
      <c r="Q196" s="432"/>
    </row>
    <row r="197" spans="1:17" ht="45.75" thickBot="1">
      <c r="A197" s="608">
        <v>1</v>
      </c>
      <c r="B197" s="203"/>
      <c r="C197" s="200" t="s">
        <v>98</v>
      </c>
      <c r="D197" s="127" t="s">
        <v>113</v>
      </c>
      <c r="E197" s="687" t="s">
        <v>22</v>
      </c>
      <c r="F197" s="616">
        <v>160</v>
      </c>
      <c r="G197" s="736">
        <v>5</v>
      </c>
      <c r="H197" s="734">
        <v>1887</v>
      </c>
      <c r="I197" s="685">
        <v>10</v>
      </c>
      <c r="J197" s="102">
        <f>ROUND(M197+M197*R197,0)</f>
        <v>1790</v>
      </c>
      <c r="K197" s="103">
        <f>ROUND(J197-(J197*S197),0)</f>
        <v>1790</v>
      </c>
      <c r="L197" s="91">
        <f>M197*1.05</f>
        <v>1879.5</v>
      </c>
      <c r="M197" s="103">
        <f>ROUND(1705*1.05,0)</f>
        <v>1790</v>
      </c>
      <c r="N197" s="155">
        <f>ROUND(M197/1.2,2)</f>
        <v>1491.67</v>
      </c>
      <c r="O197" s="429"/>
      <c r="P197" s="430">
        <v>1266.0999999999999</v>
      </c>
      <c r="Q197" s="62">
        <v>1450</v>
      </c>
    </row>
    <row r="198" spans="1:17" ht="60.75" thickBot="1">
      <c r="A198" s="689"/>
      <c r="B198" s="204"/>
      <c r="C198" s="201" t="s">
        <v>87</v>
      </c>
      <c r="D198" s="116" t="s">
        <v>113</v>
      </c>
      <c r="E198" s="688"/>
      <c r="F198" s="617"/>
      <c r="G198" s="737"/>
      <c r="H198" s="735"/>
      <c r="I198" s="686"/>
      <c r="J198" s="111">
        <f>ROUND(M198+M198*R198,0)</f>
        <v>1790</v>
      </c>
      <c r="K198" s="278">
        <f>ROUND(J198-(J198*S198),0)</f>
        <v>1790</v>
      </c>
      <c r="L198" s="91">
        <f>M198*1.05</f>
        <v>1879.5</v>
      </c>
      <c r="M198" s="103">
        <f>ROUND(1705*1.05,0)</f>
        <v>1790</v>
      </c>
      <c r="N198" s="156">
        <f>ROUND(M198/1.2,2)</f>
        <v>1491.67</v>
      </c>
      <c r="O198" s="429"/>
      <c r="P198" s="430">
        <v>1266.0999999999999</v>
      </c>
      <c r="Q198" s="69">
        <v>1450</v>
      </c>
    </row>
    <row r="199" spans="1:17" ht="45.75" thickBot="1">
      <c r="A199" s="689"/>
      <c r="B199" s="204"/>
      <c r="C199" s="201" t="s">
        <v>85</v>
      </c>
      <c r="D199" s="116" t="s">
        <v>113</v>
      </c>
      <c r="E199" s="688"/>
      <c r="F199" s="617"/>
      <c r="G199" s="737"/>
      <c r="H199" s="735"/>
      <c r="I199" s="686"/>
      <c r="J199" s="111">
        <f>ROUND(M199+M199*R199,0)</f>
        <v>1790</v>
      </c>
      <c r="K199" s="278">
        <f>ROUND(J199-(J199*S199),0)</f>
        <v>1790</v>
      </c>
      <c r="L199" s="91">
        <f>M199*1.05</f>
        <v>1879.5</v>
      </c>
      <c r="M199" s="103">
        <f>ROUND(1705*1.05,0)</f>
        <v>1790</v>
      </c>
      <c r="N199" s="156">
        <f>ROUND(M199/1.2,2)</f>
        <v>1491.67</v>
      </c>
      <c r="O199" s="429"/>
      <c r="P199" s="430">
        <v>1266.0999999999999</v>
      </c>
      <c r="Q199" s="62">
        <v>1450</v>
      </c>
    </row>
    <row r="200" spans="1:17" ht="75.75" thickBot="1">
      <c r="A200" s="689"/>
      <c r="B200" s="299"/>
      <c r="C200" s="201" t="s">
        <v>83</v>
      </c>
      <c r="D200" s="116" t="s">
        <v>113</v>
      </c>
      <c r="E200" s="688"/>
      <c r="F200" s="617"/>
      <c r="G200" s="737"/>
      <c r="H200" s="735"/>
      <c r="I200" s="686"/>
      <c r="J200" s="111">
        <f>ROUND(M200+M200*R200,0)</f>
        <v>1790</v>
      </c>
      <c r="K200" s="278">
        <f>ROUND(J200-(J200*S200),0)</f>
        <v>1790</v>
      </c>
      <c r="L200" s="91">
        <f>M200*1.05</f>
        <v>1879.5</v>
      </c>
      <c r="M200" s="103">
        <f>ROUND(1705*1.05,0)</f>
        <v>1790</v>
      </c>
      <c r="N200" s="156">
        <f>ROUND(M200/1.2,2)</f>
        <v>1491.67</v>
      </c>
      <c r="O200" s="429"/>
      <c r="P200" s="430">
        <v>1266.0999999999999</v>
      </c>
      <c r="Q200" s="62">
        <v>1450</v>
      </c>
    </row>
    <row r="201" spans="1:17" ht="19.5" thickBot="1">
      <c r="A201" s="609"/>
      <c r="B201" s="307"/>
      <c r="C201" s="301" t="s">
        <v>6</v>
      </c>
      <c r="D201" s="118" t="s">
        <v>113</v>
      </c>
      <c r="E201" s="294" t="s">
        <v>26</v>
      </c>
      <c r="F201" s="618"/>
      <c r="G201" s="307">
        <v>4.8</v>
      </c>
      <c r="H201" s="288">
        <v>1818</v>
      </c>
      <c r="I201" s="301">
        <v>11</v>
      </c>
      <c r="J201" s="111">
        <f>ROUND(M201+M201*R201,0)</f>
        <v>2155</v>
      </c>
      <c r="K201" s="278">
        <f>J201*0.97</f>
        <v>2090.35</v>
      </c>
      <c r="L201" s="112">
        <f>M201*1.03</f>
        <v>2219.65</v>
      </c>
      <c r="M201" s="103">
        <f>ROUND(2052*1.05,0)</f>
        <v>2155</v>
      </c>
      <c r="N201" s="156">
        <f>ROUND(M201/1.2,2)</f>
        <v>1795.83</v>
      </c>
      <c r="O201" s="429"/>
      <c r="P201" s="430">
        <v>1423.73</v>
      </c>
      <c r="Q201" s="17">
        <v>1600</v>
      </c>
    </row>
    <row r="202" spans="1:17" ht="16.5" thickBot="1">
      <c r="A202" s="597" t="s">
        <v>1</v>
      </c>
      <c r="B202" s="598"/>
      <c r="C202" s="598"/>
      <c r="D202" s="598"/>
      <c r="E202" s="598"/>
      <c r="F202" s="598"/>
      <c r="G202" s="598"/>
      <c r="H202" s="598"/>
      <c r="I202" s="598"/>
      <c r="J202" s="598"/>
      <c r="K202" s="598"/>
      <c r="L202" s="598"/>
      <c r="M202" s="598"/>
      <c r="N202" s="599"/>
      <c r="O202" s="429"/>
      <c r="P202" s="430">
        <v>0</v>
      </c>
      <c r="Q202" s="434"/>
    </row>
    <row r="203" spans="1:17" ht="15.75" thickBot="1">
      <c r="A203" s="603" t="s">
        <v>31</v>
      </c>
      <c r="B203" s="604"/>
      <c r="C203" s="604"/>
      <c r="D203" s="604"/>
      <c r="E203" s="604"/>
      <c r="F203" s="604"/>
      <c r="G203" s="604"/>
      <c r="H203" s="604"/>
      <c r="I203" s="604"/>
      <c r="J203" s="604"/>
      <c r="K203" s="604"/>
      <c r="L203" s="604"/>
      <c r="M203" s="604"/>
      <c r="N203" s="605"/>
      <c r="O203" s="429"/>
      <c r="P203" s="430">
        <v>0</v>
      </c>
      <c r="Q203" s="435"/>
    </row>
    <row r="204" spans="1:17" ht="19.5" thickBot="1">
      <c r="A204" s="362">
        <v>1</v>
      </c>
      <c r="B204" s="363"/>
      <c r="C204" s="297" t="s">
        <v>6</v>
      </c>
      <c r="D204" s="127" t="s">
        <v>113</v>
      </c>
      <c r="E204" s="292" t="s">
        <v>19</v>
      </c>
      <c r="F204" s="376" t="s">
        <v>55</v>
      </c>
      <c r="G204" s="306">
        <v>8</v>
      </c>
      <c r="H204" s="286">
        <v>1702</v>
      </c>
      <c r="I204" s="298">
        <v>11</v>
      </c>
      <c r="J204" s="102">
        <f>ROUND(M204+M204*R204,0)</f>
        <v>1136</v>
      </c>
      <c r="K204" s="103">
        <f>J204*0.97</f>
        <v>1101.92</v>
      </c>
      <c r="L204" s="91">
        <f>M204*1.03</f>
        <v>1170.08</v>
      </c>
      <c r="M204" s="103">
        <f>ROUND(1082*1.05,0)</f>
        <v>1136</v>
      </c>
      <c r="N204" s="104">
        <f>ROUND(M204/1.2,2)</f>
        <v>946.67</v>
      </c>
      <c r="O204" s="429"/>
      <c r="P204" s="430">
        <v>751.69</v>
      </c>
      <c r="Q204" s="28">
        <v>845</v>
      </c>
    </row>
    <row r="205" spans="1:17" ht="16.5" thickBot="1">
      <c r="A205" s="597" t="s">
        <v>72</v>
      </c>
      <c r="B205" s="598"/>
      <c r="C205" s="598"/>
      <c r="D205" s="598"/>
      <c r="E205" s="598"/>
      <c r="F205" s="598"/>
      <c r="G205" s="598"/>
      <c r="H205" s="598"/>
      <c r="I205" s="598"/>
      <c r="J205" s="598"/>
      <c r="K205" s="598"/>
      <c r="L205" s="598"/>
      <c r="M205" s="598"/>
      <c r="N205" s="599"/>
      <c r="O205" s="429"/>
      <c r="P205" s="430">
        <v>0</v>
      </c>
      <c r="Q205" s="436"/>
    </row>
    <row r="206" spans="1:17" ht="15.75" thickBot="1">
      <c r="A206" s="649" t="s">
        <v>77</v>
      </c>
      <c r="B206" s="650"/>
      <c r="C206" s="650"/>
      <c r="D206" s="650"/>
      <c r="E206" s="650"/>
      <c r="F206" s="650"/>
      <c r="G206" s="650"/>
      <c r="H206" s="650"/>
      <c r="I206" s="650"/>
      <c r="J206" s="650"/>
      <c r="K206" s="650"/>
      <c r="L206" s="650"/>
      <c r="M206" s="650"/>
      <c r="N206" s="651"/>
      <c r="O206" s="429"/>
      <c r="P206" s="430">
        <v>0</v>
      </c>
      <c r="Q206" s="437"/>
    </row>
    <row r="207" spans="1:17" ht="18.75">
      <c r="A207" s="409">
        <v>1</v>
      </c>
      <c r="B207" s="408"/>
      <c r="C207" s="121" t="s">
        <v>73</v>
      </c>
      <c r="D207" s="127" t="s">
        <v>113</v>
      </c>
      <c r="E207" s="422" t="s">
        <v>74</v>
      </c>
      <c r="F207" s="442"/>
      <c r="G207" s="152">
        <v>120</v>
      </c>
      <c r="H207" s="128">
        <v>1260</v>
      </c>
      <c r="I207" s="121">
        <v>15</v>
      </c>
      <c r="J207" s="227">
        <v>66</v>
      </c>
      <c r="K207" s="72">
        <v>64</v>
      </c>
      <c r="L207" s="216">
        <f>M207*1.03</f>
        <v>61.800000000000004</v>
      </c>
      <c r="M207" s="215">
        <f>ROUND(57*1.05,0)</f>
        <v>60</v>
      </c>
      <c r="N207" s="444">
        <f>ROUND(M207/1.2,2)</f>
        <v>50</v>
      </c>
      <c r="O207" s="429"/>
      <c r="P207" s="430">
        <v>38.979999999999997</v>
      </c>
      <c r="Q207" s="290">
        <v>46</v>
      </c>
    </row>
    <row r="208" spans="1:17" ht="19.5" thickBot="1">
      <c r="A208" s="410">
        <v>2</v>
      </c>
      <c r="B208" s="178"/>
      <c r="C208" s="126" t="s">
        <v>75</v>
      </c>
      <c r="D208" s="118" t="s">
        <v>113</v>
      </c>
      <c r="E208" s="424" t="s">
        <v>74</v>
      </c>
      <c r="F208" s="443"/>
      <c r="G208" s="151">
        <v>120</v>
      </c>
      <c r="H208" s="125" t="s">
        <v>76</v>
      </c>
      <c r="I208" s="126">
        <v>22</v>
      </c>
      <c r="J208" s="228">
        <v>67</v>
      </c>
      <c r="K208" s="75">
        <v>65</v>
      </c>
      <c r="L208" s="4">
        <f>M208*1.03</f>
        <v>62.83</v>
      </c>
      <c r="M208" s="4">
        <v>61</v>
      </c>
      <c r="N208" s="445">
        <f>ROUND(M208/1.2,2)</f>
        <v>50.83</v>
      </c>
      <c r="O208" s="438"/>
      <c r="P208" s="439">
        <v>38.14</v>
      </c>
      <c r="Q208" s="291">
        <v>45</v>
      </c>
    </row>
    <row r="209" spans="1:17" ht="18.75">
      <c r="A209" s="80"/>
      <c r="B209" s="92"/>
      <c r="C209" s="92"/>
      <c r="D209" s="81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</row>
    <row r="210" spans="1:17" ht="15.75">
      <c r="A210" s="426"/>
      <c r="B210" s="425" t="s">
        <v>141</v>
      </c>
      <c r="C210" s="425"/>
      <c r="D210" s="425"/>
      <c r="E210" s="425"/>
      <c r="F210" s="425"/>
      <c r="G210" s="425"/>
      <c r="H210" s="425"/>
      <c r="I210" s="425"/>
      <c r="J210" s="425"/>
      <c r="K210" s="425"/>
      <c r="L210" s="425"/>
      <c r="M210" s="425"/>
      <c r="N210" s="425"/>
      <c r="O210" s="425"/>
      <c r="P210" s="425"/>
      <c r="Q210" s="427"/>
    </row>
  </sheetData>
  <mergeCells count="174"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Esk-comp</cp:lastModifiedBy>
  <cp:lastPrinted>2023-03-02T09:45:55Z</cp:lastPrinted>
  <dcterms:created xsi:type="dcterms:W3CDTF">2013-11-15T06:29:05Z</dcterms:created>
  <dcterms:modified xsi:type="dcterms:W3CDTF">2024-05-29T08:18:54Z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